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orbanei\Desktop\"/>
    </mc:Choice>
  </mc:AlternateContent>
  <xr:revisionPtr revIDLastSave="0" documentId="13_ncr:1_{554E2E7A-998A-4CEC-A151-04017006767E}" xr6:coauthVersionLast="47" xr6:coauthVersionMax="47" xr10:uidLastSave="{00000000-0000-0000-0000-000000000000}"/>
  <bookViews>
    <workbookView xWindow="-120" yWindow="-120" windowWidth="20640" windowHeight="11160" firstSheet="1" activeTab="10" xr2:uid="{00000000-000D-0000-FFFF-FFFF00000000}"/>
  </bookViews>
  <sheets>
    <sheet name="بلوک 1" sheetId="1" r:id="rId1"/>
    <sheet name="بلوک 2" sheetId="2" r:id="rId2"/>
    <sheet name="بلوک 3" sheetId="3" r:id="rId3"/>
    <sheet name="بلوک 4" sheetId="4" r:id="rId4"/>
    <sheet name="بلوک 5" sheetId="5" r:id="rId5"/>
    <sheet name="بلوک 6" sheetId="6" r:id="rId6"/>
    <sheet name="بلوک 7" sheetId="7" r:id="rId7"/>
    <sheet name="بلوک 8" sheetId="8" r:id="rId8"/>
    <sheet name="بلوک 9" sheetId="9" r:id="rId9"/>
    <sheet name="بلوک 10" sheetId="10" r:id="rId10"/>
    <sheet name="بلوک 1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1" l="1"/>
  <c r="G7" i="11"/>
  <c r="G6" i="11"/>
  <c r="G5" i="11"/>
  <c r="G4" i="11"/>
  <c r="G3" i="11"/>
  <c r="F6" i="11"/>
  <c r="F5" i="11"/>
  <c r="F4" i="11"/>
  <c r="F3" i="11"/>
  <c r="E6" i="11"/>
  <c r="E5" i="11"/>
  <c r="E4" i="11"/>
  <c r="E3" i="11"/>
  <c r="G10" i="10"/>
  <c r="G9" i="10"/>
  <c r="G8" i="10"/>
  <c r="G7" i="10"/>
  <c r="G6" i="10"/>
  <c r="G2" i="10"/>
  <c r="G3" i="10"/>
  <c r="G4" i="10"/>
  <c r="F8" i="10"/>
  <c r="F7" i="10"/>
  <c r="F6" i="10"/>
  <c r="F2" i="10"/>
  <c r="F3" i="10"/>
  <c r="F4" i="10"/>
  <c r="E8" i="10"/>
  <c r="E7" i="10"/>
  <c r="E6" i="10"/>
  <c r="E2" i="10"/>
  <c r="E3" i="10"/>
  <c r="E4" i="10"/>
  <c r="G10" i="9"/>
  <c r="G9" i="9"/>
  <c r="G8" i="9"/>
  <c r="G7" i="9"/>
  <c r="G6" i="9"/>
  <c r="G2" i="9"/>
  <c r="G3" i="9"/>
  <c r="G4" i="9"/>
  <c r="F9" i="9"/>
  <c r="F8" i="9"/>
  <c r="F7" i="9"/>
  <c r="F6" i="9"/>
  <c r="F2" i="9"/>
  <c r="F3" i="9"/>
  <c r="F4" i="9"/>
  <c r="E9" i="9"/>
  <c r="E8" i="9"/>
  <c r="E7" i="9"/>
  <c r="E6" i="9"/>
  <c r="E2" i="9"/>
  <c r="E3" i="9"/>
  <c r="E4" i="9"/>
  <c r="G11" i="8"/>
  <c r="G10" i="8"/>
  <c r="G9" i="8"/>
  <c r="G8" i="8"/>
  <c r="G7" i="8"/>
  <c r="G6" i="8"/>
  <c r="G2" i="8"/>
  <c r="G3" i="8"/>
  <c r="G4" i="8"/>
  <c r="E9" i="8"/>
  <c r="F9" i="8"/>
  <c r="F8" i="8"/>
  <c r="F7" i="8"/>
  <c r="F6" i="8"/>
  <c r="E8" i="8"/>
  <c r="E7" i="8"/>
  <c r="E6" i="8"/>
  <c r="F2" i="8"/>
  <c r="F3" i="8"/>
  <c r="F4" i="8"/>
  <c r="E2" i="8"/>
  <c r="E3" i="8"/>
  <c r="E4" i="8"/>
  <c r="G8" i="7"/>
  <c r="G7" i="7"/>
  <c r="G6" i="7"/>
  <c r="G2" i="7"/>
  <c r="G3" i="7"/>
  <c r="G4" i="7"/>
  <c r="F7" i="7"/>
  <c r="F6" i="7"/>
  <c r="F2" i="7"/>
  <c r="F3" i="7"/>
  <c r="F4" i="7"/>
  <c r="E7" i="7"/>
  <c r="E6" i="7"/>
  <c r="E2" i="7"/>
  <c r="E3" i="7"/>
  <c r="E4" i="7"/>
  <c r="H2" i="6"/>
  <c r="G10" i="6"/>
  <c r="G9" i="6"/>
  <c r="G8" i="6"/>
  <c r="G7" i="6"/>
  <c r="G6" i="6"/>
  <c r="G2" i="6"/>
  <c r="G3" i="6"/>
  <c r="G4" i="6"/>
  <c r="F8" i="6"/>
  <c r="F7" i="6"/>
  <c r="F6" i="6"/>
  <c r="F2" i="6"/>
  <c r="F3" i="6"/>
  <c r="F4" i="6"/>
  <c r="E8" i="6"/>
  <c r="E7" i="6"/>
  <c r="E6" i="6"/>
  <c r="E2" i="6"/>
  <c r="E3" i="6"/>
  <c r="E4" i="6"/>
  <c r="G9" i="5" l="1"/>
  <c r="G8" i="5"/>
  <c r="G7" i="5"/>
  <c r="G6" i="5"/>
  <c r="G3" i="5"/>
  <c r="G2" i="5"/>
  <c r="G4" i="5"/>
  <c r="E7" i="5"/>
  <c r="E6" i="5"/>
  <c r="F7" i="5"/>
  <c r="F6" i="5"/>
  <c r="F2" i="5"/>
  <c r="F3" i="5"/>
  <c r="F4" i="5"/>
  <c r="E2" i="5"/>
  <c r="E3" i="5"/>
  <c r="E4" i="5"/>
  <c r="G9" i="4"/>
  <c r="G8" i="4"/>
  <c r="G7" i="4"/>
  <c r="G6" i="4"/>
  <c r="G2" i="4"/>
  <c r="G3" i="4"/>
  <c r="G4" i="4"/>
  <c r="F8" i="4"/>
  <c r="F7" i="4"/>
  <c r="F6" i="4"/>
  <c r="F2" i="4"/>
  <c r="F3" i="4"/>
  <c r="F4" i="4"/>
  <c r="E8" i="4"/>
  <c r="E7" i="4"/>
  <c r="E6" i="4"/>
  <c r="E2" i="4"/>
  <c r="E3" i="4"/>
  <c r="E4" i="4"/>
  <c r="G8" i="3"/>
  <c r="G7" i="3"/>
  <c r="G6" i="3"/>
  <c r="G2" i="3"/>
  <c r="G3" i="3"/>
  <c r="G4" i="3"/>
  <c r="F7" i="3"/>
  <c r="F6" i="3"/>
  <c r="F2" i="3"/>
  <c r="F3" i="3"/>
  <c r="F4" i="3"/>
  <c r="E7" i="3"/>
  <c r="E6" i="3"/>
  <c r="E2" i="3"/>
  <c r="E3" i="3"/>
  <c r="E4" i="3"/>
  <c r="G8" i="2"/>
  <c r="G7" i="2"/>
  <c r="G6" i="2"/>
  <c r="G5" i="2"/>
  <c r="G2" i="2"/>
  <c r="G3" i="2"/>
  <c r="F8" i="2"/>
  <c r="F7" i="2"/>
  <c r="F6" i="2"/>
  <c r="F5" i="2"/>
  <c r="F2" i="2"/>
  <c r="F3" i="2"/>
  <c r="E8" i="2"/>
  <c r="E7" i="2"/>
  <c r="E6" i="2"/>
  <c r="E5" i="2"/>
  <c r="E2" i="2"/>
  <c r="E3" i="2"/>
  <c r="G11" i="1"/>
  <c r="G10" i="1"/>
  <c r="G9" i="1"/>
  <c r="G8" i="1"/>
  <c r="G7" i="1"/>
  <c r="G6" i="1"/>
  <c r="G2" i="1"/>
  <c r="G3" i="1"/>
  <c r="G4" i="1"/>
  <c r="F9" i="1"/>
  <c r="F8" i="1"/>
  <c r="F7" i="1"/>
  <c r="F6" i="1"/>
  <c r="F3" i="1"/>
  <c r="F2" i="1"/>
  <c r="F4" i="1"/>
  <c r="E9" i="1"/>
  <c r="E8" i="1"/>
  <c r="E7" i="1"/>
  <c r="E6" i="1"/>
  <c r="E2" i="1"/>
  <c r="E3" i="1"/>
  <c r="E4" i="1"/>
  <c r="H5" i="11"/>
  <c r="K5" i="11" s="1"/>
  <c r="N5" i="11" s="1"/>
  <c r="J10" i="11"/>
  <c r="I10" i="11"/>
  <c r="M10" i="11" s="1"/>
  <c r="P10" i="11" s="1"/>
  <c r="H10" i="11"/>
  <c r="J9" i="11"/>
  <c r="L9" i="11" s="1"/>
  <c r="O9" i="11" s="1"/>
  <c r="I9" i="11"/>
  <c r="H9" i="11"/>
  <c r="K9" i="11" s="1"/>
  <c r="N9" i="11" s="1"/>
  <c r="J8" i="11"/>
  <c r="L8" i="11" s="1"/>
  <c r="O8" i="11" s="1"/>
  <c r="I8" i="11"/>
  <c r="M8" i="11" s="1"/>
  <c r="P8" i="11" s="1"/>
  <c r="H8" i="11"/>
  <c r="J7" i="11"/>
  <c r="L7" i="11" s="1"/>
  <c r="O7" i="11" s="1"/>
  <c r="I7" i="11"/>
  <c r="H7" i="11"/>
  <c r="J6" i="11"/>
  <c r="I6" i="11"/>
  <c r="H6" i="11"/>
  <c r="K6" i="11" s="1"/>
  <c r="N6" i="11" s="1"/>
  <c r="J5" i="11"/>
  <c r="L5" i="11" s="1"/>
  <c r="O5" i="11" s="1"/>
  <c r="I5" i="11"/>
  <c r="M5" i="11" s="1"/>
  <c r="P5" i="11" s="1"/>
  <c r="J4" i="11"/>
  <c r="I4" i="11"/>
  <c r="H4" i="11"/>
  <c r="K4" i="11" s="1"/>
  <c r="N4" i="11" s="1"/>
  <c r="J3" i="11"/>
  <c r="I3" i="11"/>
  <c r="M3" i="11" s="1"/>
  <c r="P3" i="11" s="1"/>
  <c r="H3" i="11"/>
  <c r="J2" i="11"/>
  <c r="I2" i="11"/>
  <c r="H2" i="11"/>
  <c r="J10" i="10"/>
  <c r="L10" i="10" s="1"/>
  <c r="O10" i="10" s="1"/>
  <c r="I10" i="10"/>
  <c r="M10" i="10" s="1"/>
  <c r="P10" i="10" s="1"/>
  <c r="H10" i="10"/>
  <c r="K10" i="10" s="1"/>
  <c r="N10" i="10" s="1"/>
  <c r="J9" i="10"/>
  <c r="L9" i="10" s="1"/>
  <c r="O9" i="10" s="1"/>
  <c r="I9" i="10"/>
  <c r="M9" i="10" s="1"/>
  <c r="P9" i="10" s="1"/>
  <c r="H9" i="10"/>
  <c r="K9" i="10" s="1"/>
  <c r="N9" i="10" s="1"/>
  <c r="J8" i="10"/>
  <c r="L8" i="10" s="1"/>
  <c r="O8" i="10" s="1"/>
  <c r="I8" i="10"/>
  <c r="M8" i="10" s="1"/>
  <c r="P8" i="10" s="1"/>
  <c r="H8" i="10"/>
  <c r="K8" i="10" s="1"/>
  <c r="N8" i="10" s="1"/>
  <c r="J7" i="10"/>
  <c r="L7" i="10" s="1"/>
  <c r="O7" i="10" s="1"/>
  <c r="I7" i="10"/>
  <c r="M7" i="10" s="1"/>
  <c r="P7" i="10" s="1"/>
  <c r="H7" i="10"/>
  <c r="K7" i="10" s="1"/>
  <c r="N7" i="10" s="1"/>
  <c r="J6" i="10"/>
  <c r="L6" i="10" s="1"/>
  <c r="O6" i="10" s="1"/>
  <c r="I6" i="10"/>
  <c r="M6" i="10" s="1"/>
  <c r="P6" i="10" s="1"/>
  <c r="H6" i="10"/>
  <c r="K6" i="10" s="1"/>
  <c r="N6" i="10" s="1"/>
  <c r="J5" i="10"/>
  <c r="L5" i="10" s="1"/>
  <c r="O5" i="10" s="1"/>
  <c r="I5" i="10"/>
  <c r="M5" i="10" s="1"/>
  <c r="P5" i="10" s="1"/>
  <c r="H5" i="10"/>
  <c r="K5" i="10" s="1"/>
  <c r="N5" i="10" s="1"/>
  <c r="J4" i="10"/>
  <c r="L4" i="10" s="1"/>
  <c r="O4" i="10" s="1"/>
  <c r="I4" i="10"/>
  <c r="M4" i="10" s="1"/>
  <c r="P4" i="10" s="1"/>
  <c r="H4" i="10"/>
  <c r="K4" i="10" s="1"/>
  <c r="N4" i="10" s="1"/>
  <c r="J3" i="10"/>
  <c r="L3" i="10" s="1"/>
  <c r="O3" i="10" s="1"/>
  <c r="I3" i="10"/>
  <c r="M3" i="10" s="1"/>
  <c r="P3" i="10" s="1"/>
  <c r="H3" i="10"/>
  <c r="K3" i="10" s="1"/>
  <c r="N3" i="10" s="1"/>
  <c r="J2" i="10"/>
  <c r="L2" i="10" s="1"/>
  <c r="O2" i="10" s="1"/>
  <c r="I2" i="10"/>
  <c r="M2" i="10" s="1"/>
  <c r="P2" i="10" s="1"/>
  <c r="H2" i="10"/>
  <c r="K2" i="10" s="1"/>
  <c r="N2" i="10" s="1"/>
  <c r="J12" i="9"/>
  <c r="L12" i="9" s="1"/>
  <c r="O12" i="9" s="1"/>
  <c r="I12" i="9"/>
  <c r="M12" i="9" s="1"/>
  <c r="P12" i="9" s="1"/>
  <c r="H12" i="9"/>
  <c r="K12" i="9" s="1"/>
  <c r="N12" i="9" s="1"/>
  <c r="J11" i="9"/>
  <c r="L11" i="9" s="1"/>
  <c r="O11" i="9" s="1"/>
  <c r="I11" i="9"/>
  <c r="M11" i="9" s="1"/>
  <c r="P11" i="9" s="1"/>
  <c r="H11" i="9"/>
  <c r="K11" i="9" s="1"/>
  <c r="N11" i="9" s="1"/>
  <c r="J10" i="9"/>
  <c r="L10" i="9" s="1"/>
  <c r="O10" i="9" s="1"/>
  <c r="I10" i="9"/>
  <c r="M10" i="9" s="1"/>
  <c r="P10" i="9" s="1"/>
  <c r="H10" i="9"/>
  <c r="K10" i="9" s="1"/>
  <c r="N10" i="9" s="1"/>
  <c r="J9" i="9"/>
  <c r="L9" i="9" s="1"/>
  <c r="O9" i="9" s="1"/>
  <c r="I9" i="9"/>
  <c r="M9" i="9" s="1"/>
  <c r="P9" i="9" s="1"/>
  <c r="H9" i="9"/>
  <c r="K9" i="9" s="1"/>
  <c r="N9" i="9" s="1"/>
  <c r="J8" i="9"/>
  <c r="L8" i="9" s="1"/>
  <c r="O8" i="9" s="1"/>
  <c r="I8" i="9"/>
  <c r="M8" i="9" s="1"/>
  <c r="P8" i="9" s="1"/>
  <c r="H8" i="9"/>
  <c r="K8" i="9" s="1"/>
  <c r="N8" i="9" s="1"/>
  <c r="J7" i="9"/>
  <c r="L7" i="9" s="1"/>
  <c r="O7" i="9" s="1"/>
  <c r="I7" i="9"/>
  <c r="M7" i="9" s="1"/>
  <c r="P7" i="9" s="1"/>
  <c r="H7" i="9"/>
  <c r="K7" i="9" s="1"/>
  <c r="N7" i="9" s="1"/>
  <c r="J6" i="9"/>
  <c r="L6" i="9" s="1"/>
  <c r="O6" i="9" s="1"/>
  <c r="I6" i="9"/>
  <c r="M6" i="9" s="1"/>
  <c r="P6" i="9" s="1"/>
  <c r="H6" i="9"/>
  <c r="K6" i="9" s="1"/>
  <c r="N6" i="9" s="1"/>
  <c r="J5" i="9"/>
  <c r="L5" i="9" s="1"/>
  <c r="O5" i="9" s="1"/>
  <c r="I5" i="9"/>
  <c r="M5" i="9" s="1"/>
  <c r="P5" i="9" s="1"/>
  <c r="H5" i="9"/>
  <c r="K5" i="9" s="1"/>
  <c r="N5" i="9" s="1"/>
  <c r="J4" i="9"/>
  <c r="L4" i="9" s="1"/>
  <c r="O4" i="9" s="1"/>
  <c r="I4" i="9"/>
  <c r="M4" i="9" s="1"/>
  <c r="P4" i="9" s="1"/>
  <c r="H4" i="9"/>
  <c r="K4" i="9" s="1"/>
  <c r="N4" i="9" s="1"/>
  <c r="J3" i="9"/>
  <c r="L3" i="9" s="1"/>
  <c r="O3" i="9" s="1"/>
  <c r="I3" i="9"/>
  <c r="M3" i="9" s="1"/>
  <c r="P3" i="9" s="1"/>
  <c r="H3" i="9"/>
  <c r="K3" i="9" s="1"/>
  <c r="N3" i="9" s="1"/>
  <c r="J2" i="9"/>
  <c r="L2" i="9" s="1"/>
  <c r="O2" i="9" s="1"/>
  <c r="I2" i="9"/>
  <c r="M2" i="9" s="1"/>
  <c r="P2" i="9" s="1"/>
  <c r="H2" i="9"/>
  <c r="K2" i="9" s="1"/>
  <c r="N2" i="9" s="1"/>
  <c r="J11" i="8"/>
  <c r="L11" i="8" s="1"/>
  <c r="O11" i="8" s="1"/>
  <c r="I11" i="8"/>
  <c r="M11" i="8" s="1"/>
  <c r="P11" i="8" s="1"/>
  <c r="H11" i="8"/>
  <c r="K11" i="8" s="1"/>
  <c r="N11" i="8" s="1"/>
  <c r="J10" i="8"/>
  <c r="L10" i="8" s="1"/>
  <c r="O10" i="8" s="1"/>
  <c r="I10" i="8"/>
  <c r="M10" i="8" s="1"/>
  <c r="P10" i="8" s="1"/>
  <c r="H10" i="8"/>
  <c r="K10" i="8" s="1"/>
  <c r="N10" i="8" s="1"/>
  <c r="J9" i="8"/>
  <c r="L9" i="8" s="1"/>
  <c r="O9" i="8" s="1"/>
  <c r="I9" i="8"/>
  <c r="M9" i="8" s="1"/>
  <c r="P9" i="8" s="1"/>
  <c r="H9" i="8"/>
  <c r="K9" i="8" s="1"/>
  <c r="N9" i="8" s="1"/>
  <c r="J8" i="8"/>
  <c r="L8" i="8" s="1"/>
  <c r="O8" i="8" s="1"/>
  <c r="I8" i="8"/>
  <c r="M8" i="8" s="1"/>
  <c r="P8" i="8" s="1"/>
  <c r="H8" i="8"/>
  <c r="K8" i="8" s="1"/>
  <c r="N8" i="8" s="1"/>
  <c r="J7" i="8"/>
  <c r="L7" i="8" s="1"/>
  <c r="O7" i="8" s="1"/>
  <c r="I7" i="8"/>
  <c r="M7" i="8" s="1"/>
  <c r="P7" i="8" s="1"/>
  <c r="H7" i="8"/>
  <c r="K7" i="8" s="1"/>
  <c r="N7" i="8" s="1"/>
  <c r="J6" i="8"/>
  <c r="L6" i="8" s="1"/>
  <c r="O6" i="8" s="1"/>
  <c r="I6" i="8"/>
  <c r="M6" i="8" s="1"/>
  <c r="P6" i="8" s="1"/>
  <c r="H6" i="8"/>
  <c r="K6" i="8" s="1"/>
  <c r="N6" i="8" s="1"/>
  <c r="J5" i="8"/>
  <c r="L5" i="8" s="1"/>
  <c r="O5" i="8" s="1"/>
  <c r="I5" i="8"/>
  <c r="M5" i="8" s="1"/>
  <c r="P5" i="8" s="1"/>
  <c r="H5" i="8"/>
  <c r="K5" i="8" s="1"/>
  <c r="N5" i="8" s="1"/>
  <c r="J4" i="8"/>
  <c r="L4" i="8" s="1"/>
  <c r="O4" i="8" s="1"/>
  <c r="I4" i="8"/>
  <c r="M4" i="8" s="1"/>
  <c r="P4" i="8" s="1"/>
  <c r="H4" i="8"/>
  <c r="K4" i="8" s="1"/>
  <c r="N4" i="8" s="1"/>
  <c r="J3" i="8"/>
  <c r="L3" i="8" s="1"/>
  <c r="O3" i="8" s="1"/>
  <c r="I3" i="8"/>
  <c r="M3" i="8" s="1"/>
  <c r="P3" i="8" s="1"/>
  <c r="H3" i="8"/>
  <c r="K3" i="8" s="1"/>
  <c r="N3" i="8" s="1"/>
  <c r="J2" i="8"/>
  <c r="L2" i="8" s="1"/>
  <c r="O2" i="8" s="1"/>
  <c r="I2" i="8"/>
  <c r="M2" i="8" s="1"/>
  <c r="P2" i="8" s="1"/>
  <c r="H2" i="8"/>
  <c r="K2" i="8" s="1"/>
  <c r="N2" i="8" s="1"/>
  <c r="J8" i="7"/>
  <c r="L8" i="7" s="1"/>
  <c r="O8" i="7" s="1"/>
  <c r="I8" i="7"/>
  <c r="M8" i="7" s="1"/>
  <c r="P8" i="7" s="1"/>
  <c r="H8" i="7"/>
  <c r="K8" i="7" s="1"/>
  <c r="N8" i="7" s="1"/>
  <c r="J7" i="7"/>
  <c r="L7" i="7" s="1"/>
  <c r="O7" i="7" s="1"/>
  <c r="I7" i="7"/>
  <c r="M7" i="7" s="1"/>
  <c r="P7" i="7" s="1"/>
  <c r="H7" i="7"/>
  <c r="K7" i="7" s="1"/>
  <c r="N7" i="7" s="1"/>
  <c r="J6" i="7"/>
  <c r="L6" i="7" s="1"/>
  <c r="O6" i="7" s="1"/>
  <c r="I6" i="7"/>
  <c r="M6" i="7" s="1"/>
  <c r="P6" i="7" s="1"/>
  <c r="H6" i="7"/>
  <c r="K6" i="7" s="1"/>
  <c r="N6" i="7" s="1"/>
  <c r="J5" i="7"/>
  <c r="L5" i="7" s="1"/>
  <c r="O5" i="7" s="1"/>
  <c r="I5" i="7"/>
  <c r="M5" i="7" s="1"/>
  <c r="P5" i="7" s="1"/>
  <c r="H5" i="7"/>
  <c r="K5" i="7" s="1"/>
  <c r="N5" i="7" s="1"/>
  <c r="J4" i="7"/>
  <c r="L4" i="7" s="1"/>
  <c r="O4" i="7" s="1"/>
  <c r="I4" i="7"/>
  <c r="M4" i="7" s="1"/>
  <c r="P4" i="7" s="1"/>
  <c r="H4" i="7"/>
  <c r="K4" i="7" s="1"/>
  <c r="N4" i="7" s="1"/>
  <c r="J3" i="7"/>
  <c r="L3" i="7" s="1"/>
  <c r="O3" i="7" s="1"/>
  <c r="I3" i="7"/>
  <c r="M3" i="7" s="1"/>
  <c r="P3" i="7" s="1"/>
  <c r="H3" i="7"/>
  <c r="K3" i="7" s="1"/>
  <c r="N3" i="7" s="1"/>
  <c r="J2" i="7"/>
  <c r="L2" i="7" s="1"/>
  <c r="O2" i="7" s="1"/>
  <c r="I2" i="7"/>
  <c r="M2" i="7" s="1"/>
  <c r="P2" i="7" s="1"/>
  <c r="H2" i="7"/>
  <c r="K2" i="7" s="1"/>
  <c r="N2" i="7" s="1"/>
  <c r="J11" i="6"/>
  <c r="L11" i="6" s="1"/>
  <c r="O11" i="6" s="1"/>
  <c r="I11" i="6"/>
  <c r="M11" i="6" s="1"/>
  <c r="P11" i="6" s="1"/>
  <c r="H11" i="6"/>
  <c r="K11" i="6" s="1"/>
  <c r="N11" i="6" s="1"/>
  <c r="J10" i="6"/>
  <c r="L10" i="6" s="1"/>
  <c r="O10" i="6" s="1"/>
  <c r="I10" i="6"/>
  <c r="M10" i="6" s="1"/>
  <c r="P10" i="6" s="1"/>
  <c r="H10" i="6"/>
  <c r="K10" i="6" s="1"/>
  <c r="N10" i="6" s="1"/>
  <c r="J9" i="6"/>
  <c r="L9" i="6" s="1"/>
  <c r="O9" i="6" s="1"/>
  <c r="I9" i="6"/>
  <c r="M9" i="6" s="1"/>
  <c r="P9" i="6" s="1"/>
  <c r="H9" i="6"/>
  <c r="K9" i="6" s="1"/>
  <c r="N9" i="6" s="1"/>
  <c r="J8" i="6"/>
  <c r="L8" i="6" s="1"/>
  <c r="O8" i="6" s="1"/>
  <c r="I8" i="6"/>
  <c r="M8" i="6" s="1"/>
  <c r="P8" i="6" s="1"/>
  <c r="H8" i="6"/>
  <c r="K8" i="6" s="1"/>
  <c r="N8" i="6" s="1"/>
  <c r="J7" i="6"/>
  <c r="L7" i="6" s="1"/>
  <c r="O7" i="6" s="1"/>
  <c r="I7" i="6"/>
  <c r="M7" i="6" s="1"/>
  <c r="P7" i="6" s="1"/>
  <c r="H7" i="6"/>
  <c r="K7" i="6" s="1"/>
  <c r="N7" i="6" s="1"/>
  <c r="J6" i="6"/>
  <c r="L6" i="6" s="1"/>
  <c r="O6" i="6" s="1"/>
  <c r="I6" i="6"/>
  <c r="M6" i="6" s="1"/>
  <c r="P6" i="6" s="1"/>
  <c r="H6" i="6"/>
  <c r="K6" i="6" s="1"/>
  <c r="N6" i="6" s="1"/>
  <c r="J5" i="6"/>
  <c r="L5" i="6" s="1"/>
  <c r="O5" i="6" s="1"/>
  <c r="I5" i="6"/>
  <c r="M5" i="6" s="1"/>
  <c r="P5" i="6" s="1"/>
  <c r="H5" i="6"/>
  <c r="K5" i="6" s="1"/>
  <c r="N5" i="6" s="1"/>
  <c r="J4" i="6"/>
  <c r="L4" i="6" s="1"/>
  <c r="O4" i="6" s="1"/>
  <c r="I4" i="6"/>
  <c r="M4" i="6" s="1"/>
  <c r="P4" i="6" s="1"/>
  <c r="H4" i="6"/>
  <c r="K4" i="6" s="1"/>
  <c r="N4" i="6" s="1"/>
  <c r="J3" i="6"/>
  <c r="L3" i="6" s="1"/>
  <c r="O3" i="6" s="1"/>
  <c r="I3" i="6"/>
  <c r="M3" i="6" s="1"/>
  <c r="P3" i="6" s="1"/>
  <c r="H3" i="6"/>
  <c r="K3" i="6" s="1"/>
  <c r="N3" i="6" s="1"/>
  <c r="K2" i="6"/>
  <c r="N2" i="6" s="1"/>
  <c r="J2" i="6"/>
  <c r="L2" i="6" s="1"/>
  <c r="O2" i="6" s="1"/>
  <c r="I2" i="6"/>
  <c r="M2" i="6" s="1"/>
  <c r="P2" i="6" s="1"/>
  <c r="J10" i="5"/>
  <c r="L10" i="5" s="1"/>
  <c r="O10" i="5" s="1"/>
  <c r="I10" i="5"/>
  <c r="M10" i="5" s="1"/>
  <c r="P10" i="5" s="1"/>
  <c r="H10" i="5"/>
  <c r="K10" i="5" s="1"/>
  <c r="N10" i="5" s="1"/>
  <c r="J9" i="5"/>
  <c r="I9" i="5"/>
  <c r="M9" i="5" s="1"/>
  <c r="P9" i="5" s="1"/>
  <c r="H9" i="5"/>
  <c r="K9" i="5" s="1"/>
  <c r="N9" i="5" s="1"/>
  <c r="J8" i="5"/>
  <c r="L8" i="5" s="1"/>
  <c r="O8" i="5" s="1"/>
  <c r="I8" i="5"/>
  <c r="M8" i="5" s="1"/>
  <c r="P8" i="5" s="1"/>
  <c r="H8" i="5"/>
  <c r="K8" i="5" s="1"/>
  <c r="N8" i="5" s="1"/>
  <c r="J7" i="5"/>
  <c r="L7" i="5" s="1"/>
  <c r="O7" i="5" s="1"/>
  <c r="I7" i="5"/>
  <c r="H7" i="5"/>
  <c r="J6" i="5"/>
  <c r="I6" i="5"/>
  <c r="M6" i="5" s="1"/>
  <c r="P6" i="5" s="1"/>
  <c r="H6" i="5"/>
  <c r="J5" i="5"/>
  <c r="L5" i="5" s="1"/>
  <c r="O5" i="5" s="1"/>
  <c r="I5" i="5"/>
  <c r="M5" i="5" s="1"/>
  <c r="P5" i="5" s="1"/>
  <c r="H5" i="5"/>
  <c r="K5" i="5" s="1"/>
  <c r="N5" i="5" s="1"/>
  <c r="J4" i="5"/>
  <c r="I4" i="5"/>
  <c r="M4" i="5" s="1"/>
  <c r="P4" i="5" s="1"/>
  <c r="H4" i="5"/>
  <c r="J3" i="5"/>
  <c r="L3" i="5" s="1"/>
  <c r="O3" i="5" s="1"/>
  <c r="I3" i="5"/>
  <c r="H3" i="5"/>
  <c r="J2" i="5"/>
  <c r="I2" i="5"/>
  <c r="H2" i="5"/>
  <c r="K2" i="5" s="1"/>
  <c r="N2" i="5" s="1"/>
  <c r="J9" i="4"/>
  <c r="L9" i="4" s="1"/>
  <c r="O9" i="4" s="1"/>
  <c r="I9" i="4"/>
  <c r="M9" i="4" s="1"/>
  <c r="P9" i="4" s="1"/>
  <c r="H9" i="4"/>
  <c r="K9" i="4" s="1"/>
  <c r="N9" i="4" s="1"/>
  <c r="J8" i="4"/>
  <c r="I8" i="4"/>
  <c r="M8" i="4" s="1"/>
  <c r="P8" i="4" s="1"/>
  <c r="H8" i="4"/>
  <c r="K8" i="4" s="1"/>
  <c r="N8" i="4" s="1"/>
  <c r="J7" i="4"/>
  <c r="I7" i="4"/>
  <c r="H7" i="4"/>
  <c r="J6" i="4"/>
  <c r="L6" i="4" s="1"/>
  <c r="O6" i="4" s="1"/>
  <c r="I6" i="4"/>
  <c r="H6" i="4"/>
  <c r="J5" i="4"/>
  <c r="L5" i="4" s="1"/>
  <c r="O5" i="4" s="1"/>
  <c r="I5" i="4"/>
  <c r="M5" i="4" s="1"/>
  <c r="P5" i="4" s="1"/>
  <c r="H5" i="4"/>
  <c r="K5" i="4" s="1"/>
  <c r="N5" i="4" s="1"/>
  <c r="J4" i="4"/>
  <c r="L4" i="4" s="1"/>
  <c r="O4" i="4" s="1"/>
  <c r="I4" i="4"/>
  <c r="M4" i="4" s="1"/>
  <c r="P4" i="4" s="1"/>
  <c r="H4" i="4"/>
  <c r="J3" i="4"/>
  <c r="I3" i="4"/>
  <c r="H3" i="4"/>
  <c r="J2" i="4"/>
  <c r="I2" i="4"/>
  <c r="H2" i="4"/>
  <c r="K2" i="4" s="1"/>
  <c r="N2" i="4" s="1"/>
  <c r="J8" i="3"/>
  <c r="I8" i="3"/>
  <c r="M8" i="3" s="1"/>
  <c r="P8" i="3" s="1"/>
  <c r="H8" i="3"/>
  <c r="K8" i="3" s="1"/>
  <c r="N8" i="3" s="1"/>
  <c r="J7" i="3"/>
  <c r="L7" i="3" s="1"/>
  <c r="O7" i="3" s="1"/>
  <c r="I7" i="3"/>
  <c r="M7" i="3" s="1"/>
  <c r="P7" i="3" s="1"/>
  <c r="H7" i="3"/>
  <c r="J6" i="3"/>
  <c r="I6" i="3"/>
  <c r="H6" i="3"/>
  <c r="J5" i="3"/>
  <c r="L5" i="3" s="1"/>
  <c r="O5" i="3" s="1"/>
  <c r="I5" i="3"/>
  <c r="M5" i="3" s="1"/>
  <c r="P5" i="3" s="1"/>
  <c r="H5" i="3"/>
  <c r="K5" i="3" s="1"/>
  <c r="N5" i="3" s="1"/>
  <c r="J4" i="3"/>
  <c r="L4" i="3" s="1"/>
  <c r="O4" i="3" s="1"/>
  <c r="I4" i="3"/>
  <c r="H4" i="3"/>
  <c r="J3" i="3"/>
  <c r="L3" i="3" s="1"/>
  <c r="O3" i="3" s="1"/>
  <c r="I3" i="3"/>
  <c r="M3" i="3" s="1"/>
  <c r="P3" i="3" s="1"/>
  <c r="H3" i="3"/>
  <c r="J2" i="3"/>
  <c r="I2" i="3"/>
  <c r="M2" i="3" s="1"/>
  <c r="P2" i="3" s="1"/>
  <c r="H2" i="3"/>
  <c r="K2" i="3" s="1"/>
  <c r="N2" i="3" s="1"/>
  <c r="J12" i="1"/>
  <c r="L12" i="1" s="1"/>
  <c r="O12" i="1" s="1"/>
  <c r="I12" i="1"/>
  <c r="M12" i="1" s="1"/>
  <c r="P12" i="1" s="1"/>
  <c r="H12" i="1"/>
  <c r="K12" i="1" s="1"/>
  <c r="N12" i="1" s="1"/>
  <c r="J11" i="1"/>
  <c r="I11" i="1"/>
  <c r="M11" i="1" s="1"/>
  <c r="P11" i="1" s="1"/>
  <c r="H11" i="1"/>
  <c r="K11" i="1" s="1"/>
  <c r="N11" i="1" s="1"/>
  <c r="J10" i="1"/>
  <c r="I10" i="1"/>
  <c r="M10" i="1" s="1"/>
  <c r="P10" i="1" s="1"/>
  <c r="H10" i="1"/>
  <c r="K10" i="1" s="1"/>
  <c r="N10" i="1" s="1"/>
  <c r="J9" i="1"/>
  <c r="L9" i="1" s="1"/>
  <c r="O9" i="1" s="1"/>
  <c r="I9" i="1"/>
  <c r="H9" i="1"/>
  <c r="J8" i="1"/>
  <c r="I8" i="1"/>
  <c r="M8" i="1" s="1"/>
  <c r="P8" i="1" s="1"/>
  <c r="H8" i="1"/>
  <c r="J7" i="1"/>
  <c r="I7" i="1"/>
  <c r="H7" i="1"/>
  <c r="K7" i="1" s="1"/>
  <c r="N7" i="1" s="1"/>
  <c r="J6" i="1"/>
  <c r="I6" i="1"/>
  <c r="H6" i="1"/>
  <c r="J5" i="1"/>
  <c r="L5" i="1" s="1"/>
  <c r="O5" i="1" s="1"/>
  <c r="I5" i="1"/>
  <c r="M5" i="1" s="1"/>
  <c r="P5" i="1" s="1"/>
  <c r="H5" i="1"/>
  <c r="K5" i="1" s="1"/>
  <c r="N5" i="1" s="1"/>
  <c r="J4" i="1"/>
  <c r="I4" i="1"/>
  <c r="H4" i="1"/>
  <c r="J3" i="1"/>
  <c r="L3" i="1" s="1"/>
  <c r="O3" i="1" s="1"/>
  <c r="I3" i="1"/>
  <c r="H3" i="1"/>
  <c r="J2" i="1"/>
  <c r="L2" i="1" s="1"/>
  <c r="O2" i="1" s="1"/>
  <c r="I2" i="1"/>
  <c r="M2" i="1" s="1"/>
  <c r="P2" i="1" s="1"/>
  <c r="H2" i="1"/>
  <c r="J8" i="2"/>
  <c r="L8" i="2" s="1"/>
  <c r="O8" i="2" s="1"/>
  <c r="I8" i="2"/>
  <c r="H8" i="2"/>
  <c r="K8" i="2" s="1"/>
  <c r="N8" i="2" s="1"/>
  <c r="J7" i="2"/>
  <c r="I7" i="2"/>
  <c r="H7" i="2"/>
  <c r="K7" i="2" s="1"/>
  <c r="N7" i="2" s="1"/>
  <c r="J6" i="2"/>
  <c r="I6" i="2"/>
  <c r="M6" i="2" s="1"/>
  <c r="P6" i="2" s="1"/>
  <c r="H6" i="2"/>
  <c r="J5" i="2"/>
  <c r="I5" i="2"/>
  <c r="M5" i="2" s="1"/>
  <c r="P5" i="2" s="1"/>
  <c r="H5" i="2"/>
  <c r="J4" i="2"/>
  <c r="L4" i="2" s="1"/>
  <c r="O4" i="2" s="1"/>
  <c r="I4" i="2"/>
  <c r="M4" i="2" s="1"/>
  <c r="P4" i="2" s="1"/>
  <c r="H4" i="2"/>
  <c r="K4" i="2" s="1"/>
  <c r="N4" i="2" s="1"/>
  <c r="J3" i="2"/>
  <c r="I3" i="2"/>
  <c r="H3" i="2"/>
  <c r="J2" i="2"/>
  <c r="L2" i="2" s="1"/>
  <c r="O2" i="2" s="1"/>
  <c r="I2" i="2"/>
  <c r="M2" i="2" s="1"/>
  <c r="P2" i="2" s="1"/>
  <c r="H2" i="2"/>
  <c r="K2" i="2" s="1"/>
  <c r="N2" i="2" s="1"/>
  <c r="M3" i="2" l="1"/>
  <c r="P3" i="2" s="1"/>
  <c r="M7" i="2"/>
  <c r="P7" i="2" s="1"/>
  <c r="M2" i="4"/>
  <c r="P2" i="4" s="1"/>
  <c r="M2" i="5"/>
  <c r="P2" i="5" s="1"/>
  <c r="K4" i="4"/>
  <c r="N4" i="4" s="1"/>
  <c r="L6" i="5"/>
  <c r="O6" i="5" s="1"/>
  <c r="K7" i="4"/>
  <c r="N7" i="4" s="1"/>
  <c r="K3" i="5"/>
  <c r="N3" i="5" s="1"/>
  <c r="K7" i="5"/>
  <c r="N7" i="5" s="1"/>
  <c r="L9" i="5"/>
  <c r="O9" i="5" s="1"/>
  <c r="K6" i="5"/>
  <c r="N6" i="5" s="1"/>
  <c r="L3" i="4"/>
  <c r="O3" i="4" s="1"/>
  <c r="M6" i="4"/>
  <c r="P6" i="4" s="1"/>
  <c r="K3" i="4"/>
  <c r="N3" i="4" s="1"/>
  <c r="L8" i="4"/>
  <c r="O8" i="4" s="1"/>
  <c r="K3" i="3"/>
  <c r="N3" i="3" s="1"/>
  <c r="M4" i="3"/>
  <c r="P4" i="3" s="1"/>
  <c r="K7" i="3"/>
  <c r="N7" i="3" s="1"/>
  <c r="K5" i="2"/>
  <c r="N5" i="2" s="1"/>
  <c r="L6" i="2"/>
  <c r="O6" i="2" s="1"/>
  <c r="M8" i="2"/>
  <c r="P8" i="2" s="1"/>
  <c r="M4" i="1"/>
  <c r="P4" i="1" s="1"/>
  <c r="M7" i="1"/>
  <c r="P7" i="1" s="1"/>
  <c r="K9" i="1"/>
  <c r="N9" i="1" s="1"/>
  <c r="M3" i="1"/>
  <c r="P3" i="1" s="1"/>
  <c r="M6" i="1"/>
  <c r="P6" i="1" s="1"/>
  <c r="L7" i="1"/>
  <c r="O7" i="1" s="1"/>
  <c r="L4" i="1"/>
  <c r="O4" i="1" s="1"/>
  <c r="L11" i="1"/>
  <c r="O11" i="1" s="1"/>
  <c r="K3" i="1"/>
  <c r="N3" i="1" s="1"/>
  <c r="L10" i="1"/>
  <c r="O10" i="1" s="1"/>
  <c r="L6" i="11"/>
  <c r="O6" i="11" s="1"/>
  <c r="L10" i="11"/>
  <c r="O10" i="11" s="1"/>
  <c r="M7" i="11"/>
  <c r="P7" i="11" s="1"/>
  <c r="K7" i="11"/>
  <c r="N7" i="11" s="1"/>
  <c r="M9" i="11"/>
  <c r="P9" i="11" s="1"/>
  <c r="L2" i="5"/>
  <c r="O2" i="5" s="1"/>
  <c r="L4" i="5"/>
  <c r="O4" i="5" s="1"/>
  <c r="M7" i="5"/>
  <c r="P7" i="5" s="1"/>
  <c r="M3" i="5"/>
  <c r="P3" i="5" s="1"/>
  <c r="K4" i="5"/>
  <c r="N4" i="5" s="1"/>
  <c r="L7" i="4"/>
  <c r="O7" i="4" s="1"/>
  <c r="L2" i="4"/>
  <c r="O2" i="4" s="1"/>
  <c r="M7" i="4"/>
  <c r="P7" i="4" s="1"/>
  <c r="M3" i="4"/>
  <c r="P3" i="4" s="1"/>
  <c r="K6" i="4"/>
  <c r="N6" i="4" s="1"/>
  <c r="L8" i="3"/>
  <c r="O8" i="3" s="1"/>
  <c r="L6" i="3"/>
  <c r="O6" i="3" s="1"/>
  <c r="L2" i="3"/>
  <c r="O2" i="3" s="1"/>
  <c r="M6" i="3"/>
  <c r="P6" i="3" s="1"/>
  <c r="K6" i="3"/>
  <c r="N6" i="3" s="1"/>
  <c r="K4" i="3"/>
  <c r="N4" i="3" s="1"/>
  <c r="L7" i="2"/>
  <c r="O7" i="2" s="1"/>
  <c r="L5" i="2"/>
  <c r="O5" i="2" s="1"/>
  <c r="L3" i="2"/>
  <c r="O3" i="2" s="1"/>
  <c r="K6" i="2"/>
  <c r="N6" i="2" s="1"/>
  <c r="K3" i="2"/>
  <c r="N3" i="2" s="1"/>
  <c r="L8" i="1"/>
  <c r="O8" i="1" s="1"/>
  <c r="L6" i="1"/>
  <c r="O6" i="1" s="1"/>
  <c r="K8" i="1"/>
  <c r="N8" i="1" s="1"/>
  <c r="K6" i="1"/>
  <c r="N6" i="1" s="1"/>
  <c r="K2" i="1"/>
  <c r="N2" i="1" s="1"/>
  <c r="K4" i="1"/>
  <c r="N4" i="1" s="1"/>
  <c r="M6" i="11"/>
  <c r="P6" i="11" s="1"/>
  <c r="K10" i="11"/>
  <c r="N10" i="11" s="1"/>
  <c r="K8" i="11"/>
  <c r="N8" i="11" s="1"/>
  <c r="L2" i="11"/>
  <c r="O2" i="11" s="1"/>
  <c r="L3" i="11"/>
  <c r="O3" i="11" s="1"/>
  <c r="L4" i="11"/>
  <c r="O4" i="11" s="1"/>
  <c r="M4" i="11"/>
  <c r="P4" i="11" s="1"/>
  <c r="M2" i="11"/>
  <c r="P2" i="11" s="1"/>
  <c r="K2" i="11"/>
  <c r="N2" i="11" s="1"/>
  <c r="K3" i="11"/>
  <c r="N3" i="11" s="1"/>
  <c r="M9" i="1"/>
  <c r="P9" i="1" s="1"/>
</calcChain>
</file>

<file path=xl/sharedStrings.xml><?xml version="1.0" encoding="utf-8"?>
<sst xmlns="http://schemas.openxmlformats.org/spreadsheetml/2006/main" count="342" uniqueCount="89">
  <si>
    <t>معبر</t>
  </si>
  <si>
    <t>عرض معبر</t>
  </si>
  <si>
    <t>قیمت دارایی مسکونی</t>
  </si>
  <si>
    <t>قیمت دارایی تجاری</t>
  </si>
  <si>
    <t>ضریب مسکونی</t>
  </si>
  <si>
    <t>ضریب تجاری</t>
  </si>
  <si>
    <t xml:space="preserve">قیمت مسکونی مصوب شورا </t>
  </si>
  <si>
    <t xml:space="preserve">قیمت اداری مصوب شورا </t>
  </si>
  <si>
    <t xml:space="preserve">دارایی مسکونی براساس عرض 12 متر </t>
  </si>
  <si>
    <t xml:space="preserve">دارایی تجاری براساس عرض 12 متر </t>
  </si>
  <si>
    <t xml:space="preserve">دارایی اداری براساس عرض 12 متر </t>
  </si>
  <si>
    <t>قیمت دارایی اداری</t>
  </si>
  <si>
    <t>ضریب اداری</t>
  </si>
  <si>
    <t xml:space="preserve">قیمت  تجاری مصوب شورا </t>
  </si>
  <si>
    <t>ضریب مسکونی 1402</t>
  </si>
  <si>
    <t>ضریب تجاری 1402</t>
  </si>
  <si>
    <t>درصد افزایش عوارض</t>
  </si>
  <si>
    <t>ضریب   اداری   1402</t>
  </si>
  <si>
    <t xml:space="preserve">بلوک </t>
  </si>
  <si>
    <t>دو</t>
  </si>
  <si>
    <t xml:space="preserve">سلمان ظهرابی </t>
  </si>
  <si>
    <t>رئیس شوراس شهر</t>
  </si>
  <si>
    <t xml:space="preserve">شهردار داریون </t>
  </si>
  <si>
    <t>حسین موحدیانی</t>
  </si>
  <si>
    <t>یک</t>
  </si>
  <si>
    <t xml:space="preserve">فرعی شرقی خیابان ولایت </t>
  </si>
  <si>
    <t xml:space="preserve">فرعی های کمربندی </t>
  </si>
  <si>
    <t>تفکیکی سید فرهاد</t>
  </si>
  <si>
    <t>فرعی های خبابان جهاد</t>
  </si>
  <si>
    <t>بلوار کشاورز</t>
  </si>
  <si>
    <t>دکتر حسابی</t>
  </si>
  <si>
    <t>خیابان جهاد</t>
  </si>
  <si>
    <t>سه</t>
  </si>
  <si>
    <t>خ امام سجاد</t>
  </si>
  <si>
    <t>تفکیک سید فرهاد</t>
  </si>
  <si>
    <t>کمربندی</t>
  </si>
  <si>
    <t>فرعی امام سجاد</t>
  </si>
  <si>
    <t xml:space="preserve">خیابان 40متری </t>
  </si>
  <si>
    <t>شش</t>
  </si>
  <si>
    <t>خیابان امام مهدی</t>
  </si>
  <si>
    <t xml:space="preserve">بلوار امام </t>
  </si>
  <si>
    <t xml:space="preserve">فرعی های خ شریعتی </t>
  </si>
  <si>
    <t>فرعی تفکیکی حسن بذرافکن</t>
  </si>
  <si>
    <t>فرعی های خ امام حسن</t>
  </si>
  <si>
    <t>خیابان فاطمیه و رجایی و امام حسن</t>
  </si>
  <si>
    <t>خیابان خلیج فارس</t>
  </si>
  <si>
    <t xml:space="preserve">بلوار امام خمینی </t>
  </si>
  <si>
    <t>هفت</t>
  </si>
  <si>
    <t>هشت</t>
  </si>
  <si>
    <t>فرعی خ الزهرا</t>
  </si>
  <si>
    <t>امام سجاد</t>
  </si>
  <si>
    <t>نه</t>
  </si>
  <si>
    <t>بلوار امام خمینی</t>
  </si>
  <si>
    <t xml:space="preserve">بر خ 40متری </t>
  </si>
  <si>
    <t xml:space="preserve">بر کمربندی </t>
  </si>
  <si>
    <t>فرعی خ امام سجاد</t>
  </si>
  <si>
    <t xml:space="preserve">فرعی خ ازادی </t>
  </si>
  <si>
    <t>ده</t>
  </si>
  <si>
    <t>تفکیکی بذرافشان</t>
  </si>
  <si>
    <t>فرعی گلزار شهدا</t>
  </si>
  <si>
    <t>خیابان گلزار شهدا</t>
  </si>
  <si>
    <t>اراضی بر جاده داریون از سمت بردج</t>
  </si>
  <si>
    <t xml:space="preserve">یازده </t>
  </si>
  <si>
    <t xml:space="preserve">کمربندی </t>
  </si>
  <si>
    <t xml:space="preserve">خیابان کمربندی </t>
  </si>
  <si>
    <t>خیابان 40متری فشار قوی</t>
  </si>
  <si>
    <t>خیابان برق</t>
  </si>
  <si>
    <t>فرعی های خیابان جهاد</t>
  </si>
  <si>
    <t>فرعی بلوار کشاورز</t>
  </si>
  <si>
    <t>پشت جبهه بلوار کشاورز</t>
  </si>
  <si>
    <t>خ.کمربندی</t>
  </si>
  <si>
    <t>فرعی های خ 40متری</t>
  </si>
  <si>
    <t>فرعی های  خ دکتر حسابی</t>
  </si>
  <si>
    <t>فرعی خ.امام مهدی</t>
  </si>
  <si>
    <t xml:space="preserve">فرعی بلوار امام </t>
  </si>
  <si>
    <t>فرعی خ امام حسن</t>
  </si>
  <si>
    <t xml:space="preserve">فرعی خ. دانش </t>
  </si>
  <si>
    <t xml:space="preserve">فرعی .شهید کشاورز </t>
  </si>
  <si>
    <t xml:space="preserve">فرعی خ گلزار </t>
  </si>
  <si>
    <t xml:space="preserve">فری بلوار امام </t>
  </si>
  <si>
    <t>اراضی بر جاده و کمربندی</t>
  </si>
  <si>
    <t xml:space="preserve">اراضی دیمی بر جاده </t>
  </si>
  <si>
    <t>اراضی زراعی تا 5هکتار</t>
  </si>
  <si>
    <t>اراضی زارعی تا یک هکتار</t>
  </si>
  <si>
    <t>اراضی زارعی ابی مجاور شهر داریون</t>
  </si>
  <si>
    <t>اراضی زارعی ابی مجاور شهر داریون در محدوده</t>
  </si>
  <si>
    <t>خیابان ..</t>
  </si>
  <si>
    <t xml:space="preserve">فرعی خ یادگار امام </t>
  </si>
  <si>
    <t>درصد افزایش عوارض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</si>
</sst>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* #,##0.00_-;_-* #,##0.00\-;_-* &quot;-&quot;??_-;_-@_-"/>
    <numFmt numFmtId="167" formatCode="_-[$ريال-429]* #,##0_-;_-[$ريال-429]* #,##0\-;_-[$ريال-429]* &quot;-&quot;_-;_-@_-"/>
    <numFmt numFmtId="168" formatCode="_-* #,##0.0_-;_-* #,##0.0\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2  Titr"/>
      <charset val="178"/>
    </font>
    <font>
      <sz val="11"/>
      <color theme="1"/>
      <name val="B Zar"/>
      <charset val="178"/>
    </font>
    <font>
      <sz val="11"/>
      <color theme="1"/>
      <name val="B Lotus"/>
      <charset val="178"/>
    </font>
    <font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sz val="10"/>
      <color theme="1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166" fontId="5" fillId="0" borderId="0" applyFon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 wrapText="1"/>
    </xf>
    <xf numFmtId="165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shrinkToFit="1"/>
    </xf>
    <xf numFmtId="167" fontId="2" fillId="0" borderId="1" xfId="0" applyNumberFormat="1" applyFont="1" applyBorder="1"/>
    <xf numFmtId="49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5" fontId="0" fillId="0" borderId="3" xfId="0" applyNumberFormat="1" applyBorder="1"/>
    <xf numFmtId="49" fontId="0" fillId="0" borderId="0" xfId="0" applyNumberFormat="1" applyAlignment="1">
      <alignment horizontal="right" vertical="center" wrapText="1"/>
    </xf>
    <xf numFmtId="1" fontId="0" fillId="0" borderId="0" xfId="0" applyNumberFormat="1" applyAlignment="1">
      <alignment horizontal="center"/>
    </xf>
    <xf numFmtId="165" fontId="0" fillId="0" borderId="0" xfId="0" applyNumberFormat="1"/>
    <xf numFmtId="49" fontId="0" fillId="0" borderId="4" xfId="0" applyNumberFormat="1" applyBorder="1" applyAlignment="1">
      <alignment horizontal="right" vertical="center" wrapText="1"/>
    </xf>
    <xf numFmtId="49" fontId="0" fillId="0" borderId="5" xfId="0" applyNumberFormat="1" applyBorder="1" applyAlignment="1">
      <alignment horizontal="right" vertical="center" wrapText="1"/>
    </xf>
    <xf numFmtId="0" fontId="3" fillId="0" borderId="1" xfId="0" applyFont="1" applyBorder="1"/>
    <xf numFmtId="165" fontId="4" fillId="2" borderId="6" xfId="0" applyNumberFormat="1" applyFont="1" applyFill="1" applyBorder="1" applyAlignment="1">
      <alignment horizontal="center" vertical="top" wrapText="1"/>
    </xf>
    <xf numFmtId="165" fontId="4" fillId="2" borderId="7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4" fillId="2" borderId="6" xfId="0" applyNumberFormat="1" applyFont="1" applyFill="1" applyBorder="1"/>
    <xf numFmtId="2" fontId="4" fillId="2" borderId="7" xfId="0" applyNumberFormat="1" applyFont="1" applyFill="1" applyBorder="1"/>
    <xf numFmtId="0" fontId="1" fillId="0" borderId="4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/>
    </xf>
    <xf numFmtId="168" fontId="2" fillId="0" borderId="1" xfId="1" applyNumberFormat="1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4" fillId="2" borderId="6" xfId="0" applyNumberFormat="1" applyFont="1" applyFill="1" applyBorder="1" applyAlignment="1">
      <alignment wrapText="1"/>
    </xf>
    <xf numFmtId="2" fontId="4" fillId="2" borderId="7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wrapText="1"/>
    </xf>
    <xf numFmtId="0" fontId="2" fillId="0" borderId="1" xfId="0" applyFont="1" applyBorder="1" applyAlignment="1">
      <alignment wrapText="1" shrinkToFit="1"/>
    </xf>
    <xf numFmtId="164" fontId="2" fillId="0" borderId="1" xfId="0" applyNumberFormat="1" applyFont="1" applyBorder="1" applyAlignment="1">
      <alignment wrapText="1"/>
    </xf>
    <xf numFmtId="1" fontId="0" fillId="0" borderId="3" xfId="0" applyNumberFormat="1" applyBorder="1" applyAlignment="1">
      <alignment horizontal="center" wrapText="1"/>
    </xf>
    <xf numFmtId="165" fontId="0" fillId="0" borderId="3" xfId="0" applyNumberFormat="1" applyBorder="1" applyAlignment="1">
      <alignment wrapText="1"/>
    </xf>
    <xf numFmtId="1" fontId="0" fillId="0" borderId="0" xfId="0" applyNumberFormat="1" applyAlignment="1">
      <alignment horizontal="center" wrapText="1"/>
    </xf>
    <xf numFmtId="165" fontId="0" fillId="0" borderId="0" xfId="0" applyNumberFormat="1" applyAlignment="1">
      <alignment wrapText="1"/>
    </xf>
    <xf numFmtId="167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/>
    </xf>
    <xf numFmtId="165" fontId="0" fillId="0" borderId="3" xfId="0" applyNumberFormat="1" applyBorder="1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rightToLeft="1" topLeftCell="A10" zoomScaleNormal="100" workbookViewId="0">
      <selection activeCell="H17" sqref="H17"/>
    </sheetView>
  </sheetViews>
  <sheetFormatPr defaultRowHeight="15"/>
  <cols>
    <col min="1" max="1" width="19.140625" customWidth="1"/>
    <col min="2" max="2" width="11.85546875" customWidth="1"/>
    <col min="3" max="3" width="10.85546875" customWidth="1"/>
    <col min="4" max="4" width="6" customWidth="1"/>
    <col min="5" max="5" width="8.42578125" customWidth="1"/>
    <col min="6" max="6" width="7.42578125" customWidth="1"/>
    <col min="7" max="7" width="8.85546875" customWidth="1"/>
    <col min="8" max="8" width="8.28515625" customWidth="1"/>
    <col min="9" max="9" width="7.5703125" customWidth="1"/>
    <col min="10" max="10" width="7.28515625" customWidth="1"/>
    <col min="11" max="11" width="5.5703125" customWidth="1"/>
    <col min="12" max="12" width="5.85546875" customWidth="1"/>
    <col min="13" max="13" width="5.5703125" customWidth="1"/>
    <col min="14" max="14" width="8" customWidth="1"/>
    <col min="15" max="15" width="6.42578125" customWidth="1"/>
    <col min="16" max="16" width="6.5703125" customWidth="1"/>
  </cols>
  <sheetData>
    <row r="1" spans="1:16" s="29" customFormat="1" ht="72.75" thickTop="1" thickBot="1">
      <c r="A1" s="50" t="s">
        <v>18</v>
      </c>
      <c r="B1" s="51"/>
      <c r="C1" s="1" t="s">
        <v>0</v>
      </c>
      <c r="D1" s="28" t="s">
        <v>1</v>
      </c>
      <c r="E1" s="2" t="s">
        <v>6</v>
      </c>
      <c r="F1" s="2" t="s">
        <v>7</v>
      </c>
      <c r="G1" s="2" t="s">
        <v>13</v>
      </c>
      <c r="H1" s="2" t="s">
        <v>2</v>
      </c>
      <c r="I1" s="2" t="s">
        <v>11</v>
      </c>
      <c r="J1" s="2" t="s">
        <v>3</v>
      </c>
      <c r="K1" s="3" t="s">
        <v>4</v>
      </c>
      <c r="L1" s="3" t="s">
        <v>5</v>
      </c>
      <c r="M1" s="3" t="s">
        <v>12</v>
      </c>
      <c r="N1" s="18" t="s">
        <v>14</v>
      </c>
      <c r="O1" s="19" t="s">
        <v>15</v>
      </c>
      <c r="P1" s="19" t="s">
        <v>17</v>
      </c>
    </row>
    <row r="2" spans="1:16" ht="21" customHeight="1" thickTop="1" thickBot="1">
      <c r="A2" s="52" t="s">
        <v>24</v>
      </c>
      <c r="B2" s="53"/>
      <c r="C2" s="8"/>
      <c r="D2" s="9">
        <v>6</v>
      </c>
      <c r="E2" s="4">
        <f>E5*0.88</f>
        <v>101200</v>
      </c>
      <c r="F2" s="4">
        <f>F5*0.88</f>
        <v>91080</v>
      </c>
      <c r="G2" s="4">
        <f>G5*0.82</f>
        <v>141450</v>
      </c>
      <c r="H2" s="4">
        <f>IF(D2&gt;=12,(IF(D2&gt;20,8,D2-12)*2+100)%*B13*16%,(100-(12-D2)*2)*B13%*16%)</f>
        <v>36889.599999999999</v>
      </c>
      <c r="I2" s="4">
        <f>IF(D2&gt;=12,(IF(D2&gt;20,8,D2-12)*2+100)%*B15*16%,(100-(12-D2)*2)*B15%*16%)</f>
        <v>44352</v>
      </c>
      <c r="J2" s="4">
        <f>IF(D2&gt;=12,(IF(D2&gt;30,18,D2-12)*3+100)%*B14*16%,(100-(12-D2)*3)*B14%*16%)</f>
        <v>51824</v>
      </c>
      <c r="K2" s="20">
        <f t="shared" ref="K2:K12" si="0">E2/H2</f>
        <v>2.7433206106870229</v>
      </c>
      <c r="L2" s="20">
        <f t="shared" ref="L2:L12" si="1">G2/J2</f>
        <v>2.7294303797468356</v>
      </c>
      <c r="M2" s="20">
        <f>F2/I2</f>
        <v>2.0535714285714284</v>
      </c>
      <c r="N2" s="21">
        <f>K2*(100+$B$16)%</f>
        <v>3.8406488549618318</v>
      </c>
      <c r="O2" s="22">
        <f>L2*(100+$B$16)%</f>
        <v>3.8212025316455693</v>
      </c>
      <c r="P2" s="22">
        <f>M2*(100+$B$16)%</f>
        <v>2.8749999999999996</v>
      </c>
    </row>
    <row r="3" spans="1:16" ht="21" thickTop="1" thickBot="1">
      <c r="A3" s="54"/>
      <c r="B3" s="55"/>
      <c r="C3" s="8"/>
      <c r="D3" s="9">
        <v>8</v>
      </c>
      <c r="E3" s="4">
        <f>E5*0.92</f>
        <v>105800</v>
      </c>
      <c r="F3" s="4">
        <f>F5*0.92</f>
        <v>95220</v>
      </c>
      <c r="G3" s="4">
        <f>G5*0.88</f>
        <v>151800</v>
      </c>
      <c r="H3" s="4">
        <f>IF(D3&gt;=12,(IF(D3&gt;20,8,D3-12)*2+100)%*B13*16%,(100-(12-D3)*2)*B13%*16%)</f>
        <v>38566.400000000001</v>
      </c>
      <c r="I3" s="4">
        <f>IF(D3&gt;=12,(IF(D3&gt;20,8,D3-12)*2+100)%*B15*16%,(100-(12-D3)*2)*B15%*16%)</f>
        <v>46368</v>
      </c>
      <c r="J3" s="4">
        <f>IF(D3&gt;=12,(IF(D3&gt;30,18,D3-12)*3+100)%*B14*16%,(100-(12-D3)*3)*B14%*16%)</f>
        <v>55616</v>
      </c>
      <c r="K3" s="20">
        <f t="shared" si="0"/>
        <v>2.7433206106870229</v>
      </c>
      <c r="L3" s="20">
        <f t="shared" si="1"/>
        <v>2.7294303797468356</v>
      </c>
      <c r="M3" s="20">
        <f t="shared" ref="M3:M12" si="2">F3/I3</f>
        <v>2.0535714285714284</v>
      </c>
      <c r="N3" s="21">
        <f t="shared" ref="N3:P12" si="3">K3*(100+$B$16)%</f>
        <v>3.8406488549618318</v>
      </c>
      <c r="O3" s="22">
        <f t="shared" si="3"/>
        <v>3.8212025316455693</v>
      </c>
      <c r="P3" s="22">
        <f t="shared" si="3"/>
        <v>2.8749999999999996</v>
      </c>
    </row>
    <row r="4" spans="1:16" ht="21" thickTop="1" thickBot="1">
      <c r="A4" s="54"/>
      <c r="B4" s="55"/>
      <c r="C4" s="8"/>
      <c r="D4" s="9">
        <v>10</v>
      </c>
      <c r="E4" s="4">
        <f>E5*0.96</f>
        <v>110400</v>
      </c>
      <c r="F4" s="4">
        <f>F5*0.96</f>
        <v>99360</v>
      </c>
      <c r="G4" s="4">
        <f>G5*0.94</f>
        <v>162150</v>
      </c>
      <c r="H4" s="4">
        <f>IF(D4&gt;=12,(IF(D4&gt;20,8,D4-12)*2+100)%*B13*16%,(100-(12-D4)*2)*B13%*16%)</f>
        <v>40243.200000000004</v>
      </c>
      <c r="I4" s="4">
        <f>IF(D4&gt;=12,(IF(D4&gt;20,8,D4-12)*2+100)%*B15*16%,(100-(12-D4)*2)*B15%*16%)</f>
        <v>48384</v>
      </c>
      <c r="J4" s="4">
        <f>IF(D4&gt;=12,(IF(D4&gt;30,18,D4-12)*3+100)%*B14*16%,(100-(12-D4)*3)*B14%*16%)</f>
        <v>59408</v>
      </c>
      <c r="K4" s="20">
        <f t="shared" si="0"/>
        <v>2.7433206106870225</v>
      </c>
      <c r="L4" s="20">
        <f t="shared" si="1"/>
        <v>2.7294303797468356</v>
      </c>
      <c r="M4" s="20">
        <f t="shared" si="2"/>
        <v>2.0535714285714284</v>
      </c>
      <c r="N4" s="21">
        <f t="shared" si="3"/>
        <v>3.8406488549618314</v>
      </c>
      <c r="O4" s="22">
        <f t="shared" si="3"/>
        <v>3.8212025316455693</v>
      </c>
      <c r="P4" s="22">
        <f t="shared" si="3"/>
        <v>2.8749999999999996</v>
      </c>
    </row>
    <row r="5" spans="1:16" ht="32.25" customHeight="1" thickTop="1" thickBot="1">
      <c r="A5" s="54"/>
      <c r="B5" s="55"/>
      <c r="C5" s="8" t="s">
        <v>25</v>
      </c>
      <c r="D5" s="9">
        <v>12</v>
      </c>
      <c r="E5" s="4">
        <v>115000</v>
      </c>
      <c r="F5" s="4">
        <v>103500</v>
      </c>
      <c r="G5" s="4">
        <v>172500</v>
      </c>
      <c r="H5" s="4">
        <f>IF(D5&gt;=12,(IF(D5&gt;20,8,D5-12)*2+100)%*B13*16%,(100-(12-D5)*2)*B13%*16%)</f>
        <v>41920</v>
      </c>
      <c r="I5" s="4">
        <f>IF(D5&gt;=12,(IF(D5&gt;20,8,D5-12)*2+100)%*B15*16%,(100-(12-D5)*2)*B15%*16%)</f>
        <v>50400</v>
      </c>
      <c r="J5" s="4">
        <f>IF(D5&gt;=12,(IF(D5&gt;30,18,D5-12)*3+100)%*B14*16%,(100-(12-D5)*3)*B14%*16%)</f>
        <v>63200</v>
      </c>
      <c r="K5" s="20">
        <f t="shared" si="0"/>
        <v>2.7433206106870229</v>
      </c>
      <c r="L5" s="20">
        <f t="shared" si="1"/>
        <v>2.7294303797468356</v>
      </c>
      <c r="M5" s="20">
        <f t="shared" si="2"/>
        <v>2.0535714285714284</v>
      </c>
      <c r="N5" s="21">
        <f t="shared" si="3"/>
        <v>3.8406488549618318</v>
      </c>
      <c r="O5" s="22">
        <f t="shared" si="3"/>
        <v>3.8212025316455693</v>
      </c>
      <c r="P5" s="22">
        <f t="shared" si="3"/>
        <v>2.8749999999999996</v>
      </c>
    </row>
    <row r="6" spans="1:16" ht="21" thickTop="1" thickBot="1">
      <c r="A6" s="54"/>
      <c r="B6" s="55"/>
      <c r="C6" s="8"/>
      <c r="D6" s="9">
        <v>14</v>
      </c>
      <c r="E6" s="4">
        <f>E5*1.04</f>
        <v>119600</v>
      </c>
      <c r="F6" s="4">
        <f>F5*1.04</f>
        <v>107640</v>
      </c>
      <c r="G6" s="4">
        <f>G5*1.06</f>
        <v>182850</v>
      </c>
      <c r="H6" s="4">
        <f>IF(D6&gt;=12,(IF(D6&gt;20,8,D6-12)*2+100)%*B13*16%,(100-(12-D6)*2)*B13%*16%)</f>
        <v>43596.800000000003</v>
      </c>
      <c r="I6" s="4">
        <f>IF(D6&gt;=12,(IF(D6&gt;20,8,D6-12)*2+100)%*B15*16%,(100-(12-D6)*2)*B15%*16%)</f>
        <v>52416</v>
      </c>
      <c r="J6" s="4">
        <f>IF(D6&gt;=12,(IF(D6&gt;30,18,D6-12)*3+100)%*B14*16%,(100-(12-D6)*3)*B14%*16%)</f>
        <v>66992</v>
      </c>
      <c r="K6" s="20">
        <f t="shared" si="0"/>
        <v>2.7433206106870229</v>
      </c>
      <c r="L6" s="20">
        <f t="shared" si="1"/>
        <v>2.7294303797468356</v>
      </c>
      <c r="M6" s="20">
        <f t="shared" si="2"/>
        <v>2.0535714285714284</v>
      </c>
      <c r="N6" s="21">
        <f t="shared" si="3"/>
        <v>3.8406488549618318</v>
      </c>
      <c r="O6" s="22">
        <f t="shared" si="3"/>
        <v>3.8212025316455693</v>
      </c>
      <c r="P6" s="22">
        <f t="shared" si="3"/>
        <v>2.8749999999999996</v>
      </c>
    </row>
    <row r="7" spans="1:16" ht="21" thickTop="1" thickBot="1">
      <c r="A7" s="54"/>
      <c r="B7" s="55"/>
      <c r="C7" s="8"/>
      <c r="D7" s="9">
        <v>16</v>
      </c>
      <c r="E7" s="4">
        <f>E5*1.08</f>
        <v>124200.00000000001</v>
      </c>
      <c r="F7" s="4">
        <f>F5*1.08</f>
        <v>111780.00000000001</v>
      </c>
      <c r="G7" s="4">
        <f>G5*1.12</f>
        <v>193200.00000000003</v>
      </c>
      <c r="H7" s="4">
        <f>IF(D7&gt;=12,(IF(D7&gt;20,8,D7-12)*2+100)%*B13*16%,(100-(12-D7)*2)*B13%*16%)</f>
        <v>45273.599999999999</v>
      </c>
      <c r="I7" s="4">
        <f>IF(D7&gt;=12,(IF(D7&gt;20,8,D7-12)*2+100)%*B15*16%,(100-(12-D7)*2)*B15%*16%)</f>
        <v>54432</v>
      </c>
      <c r="J7" s="4">
        <f>IF(D7&gt;=12,(IF(D7&gt;30,18,D7-12)*3+100)%*B14*16%,(100-(12-D7)*3)*B14%*16%)</f>
        <v>70784.000000000015</v>
      </c>
      <c r="K7" s="20">
        <f t="shared" si="0"/>
        <v>2.7433206106870234</v>
      </c>
      <c r="L7" s="20">
        <f t="shared" si="1"/>
        <v>2.7294303797468351</v>
      </c>
      <c r="M7" s="20">
        <f t="shared" si="2"/>
        <v>2.0535714285714288</v>
      </c>
      <c r="N7" s="21">
        <f t="shared" si="3"/>
        <v>3.8406488549618323</v>
      </c>
      <c r="O7" s="22">
        <f t="shared" si="3"/>
        <v>3.8212025316455689</v>
      </c>
      <c r="P7" s="22">
        <f t="shared" si="3"/>
        <v>2.875</v>
      </c>
    </row>
    <row r="8" spans="1:16" ht="21" thickTop="1" thickBot="1">
      <c r="A8" s="54"/>
      <c r="B8" s="55"/>
      <c r="C8" s="8"/>
      <c r="D8" s="9">
        <v>18</v>
      </c>
      <c r="E8" s="4">
        <f>E5*0.88</f>
        <v>101200</v>
      </c>
      <c r="F8" s="4">
        <f>F5*1.12</f>
        <v>115920.00000000001</v>
      </c>
      <c r="G8" s="4">
        <f>G5*1.18</f>
        <v>203550</v>
      </c>
      <c r="H8" s="4">
        <f>IF(D8&gt;=12,(IF(D8&gt;20,8,D8-12)*2+100)%*B13*16%,(100-(12-D8)*2)*B13%*16%)</f>
        <v>46950.400000000001</v>
      </c>
      <c r="I8" s="4">
        <f>IF(D8&gt;=12,(IF(D8&gt;20,8,D8-12)*2+100)%*B15*16%,(100-(12-D8)*2)*B15%*16%)</f>
        <v>56448.000000000007</v>
      </c>
      <c r="J8" s="4">
        <f>IF(D8&gt;=12,(IF(D8&gt;30,18,D8-12)*3+100)%*B14*16%,(100-(12-D8)*3)*B14%*16%)</f>
        <v>74576</v>
      </c>
      <c r="K8" s="20">
        <f t="shared" si="0"/>
        <v>2.1554661941112321</v>
      </c>
      <c r="L8" s="20">
        <f t="shared" si="1"/>
        <v>2.7294303797468356</v>
      </c>
      <c r="M8" s="20">
        <f t="shared" si="2"/>
        <v>2.0535714285714284</v>
      </c>
      <c r="N8" s="21">
        <f t="shared" si="3"/>
        <v>3.0176526717557248</v>
      </c>
      <c r="O8" s="22">
        <f t="shared" si="3"/>
        <v>3.8212025316455693</v>
      </c>
      <c r="P8" s="22">
        <f t="shared" si="3"/>
        <v>2.8749999999999996</v>
      </c>
    </row>
    <row r="9" spans="1:16" ht="21" thickTop="1" thickBot="1">
      <c r="A9" s="54"/>
      <c r="B9" s="55"/>
      <c r="C9" s="8" t="s">
        <v>86</v>
      </c>
      <c r="D9" s="9">
        <v>20</v>
      </c>
      <c r="E9" s="4">
        <f>E5*1.16</f>
        <v>133400</v>
      </c>
      <c r="F9" s="4">
        <f>F5*1.16</f>
        <v>120059.99999999999</v>
      </c>
      <c r="G9" s="4">
        <f>G5*1.24</f>
        <v>213900</v>
      </c>
      <c r="H9" s="4">
        <f>IF(D9&gt;=12,(IF(D9&gt;20,8,D9-12)*2+100)%*B13*16%,(100-(12-D9)*2)*B13%*16%)</f>
        <v>48627.200000000004</v>
      </c>
      <c r="I9" s="4">
        <f>IF(D9&gt;=12,(IF(D9&gt;20,8,D9-12)*2+100)%*B15*16%,(100-(12-D9)*2)*B15%*16%)</f>
        <v>58464</v>
      </c>
      <c r="J9" s="4">
        <f>IF(D9&gt;=12,(IF(D9&gt;30,18,D9-12)*3+100)%*B14*16%,(100-(12-D9)*3)*B14%*16%)</f>
        <v>78368</v>
      </c>
      <c r="K9" s="20">
        <f t="shared" si="0"/>
        <v>2.7433206106870225</v>
      </c>
      <c r="L9" s="20">
        <f t="shared" si="1"/>
        <v>2.7294303797468356</v>
      </c>
      <c r="M9" s="20">
        <f t="shared" si="2"/>
        <v>2.0535714285714284</v>
      </c>
      <c r="N9" s="21">
        <f t="shared" si="3"/>
        <v>3.8406488549618314</v>
      </c>
      <c r="O9" s="22">
        <f t="shared" si="3"/>
        <v>3.8212025316455693</v>
      </c>
      <c r="P9" s="22">
        <f t="shared" si="3"/>
        <v>2.8749999999999996</v>
      </c>
    </row>
    <row r="10" spans="1:16" ht="28.5" customHeight="1" thickTop="1" thickBot="1">
      <c r="A10" s="54"/>
      <c r="B10" s="55"/>
      <c r="C10" s="8" t="s">
        <v>66</v>
      </c>
      <c r="D10" s="9">
        <v>24</v>
      </c>
      <c r="E10" s="4">
        <v>133400</v>
      </c>
      <c r="F10" s="4">
        <v>12060</v>
      </c>
      <c r="G10" s="4">
        <f>G5*1.36</f>
        <v>234600.00000000003</v>
      </c>
      <c r="H10" s="4">
        <f>IF(D10&gt;=12,(IF(D10&gt;20,8,D10-12)*2+100)%*B13*16%,(100-(12-D10)*2)*B13%*16%)</f>
        <v>48627.200000000004</v>
      </c>
      <c r="I10" s="4">
        <f>IF(D10&gt;=12,(IF(D10&gt;20,8,D10-12)*2+100)%*B15*16%,(100-(12-D10)*2)*B15%*16%)</f>
        <v>58464</v>
      </c>
      <c r="J10" s="4">
        <f>IF(D10&gt;=12,(IF(D10&gt;30,18,D10-12)*3+100)%*B14*16%,(100-(12-D10)*3)*B14%*16%)</f>
        <v>85952</v>
      </c>
      <c r="K10" s="20">
        <f t="shared" si="0"/>
        <v>2.7433206106870225</v>
      </c>
      <c r="L10" s="20">
        <f t="shared" si="1"/>
        <v>2.729430379746836</v>
      </c>
      <c r="M10" s="20">
        <f t="shared" si="2"/>
        <v>0.20628078817733991</v>
      </c>
      <c r="N10" s="21">
        <f t="shared" si="3"/>
        <v>3.8406488549618314</v>
      </c>
      <c r="O10" s="22">
        <f t="shared" si="3"/>
        <v>3.8212025316455702</v>
      </c>
      <c r="P10" s="22">
        <f t="shared" si="3"/>
        <v>0.28879310344827586</v>
      </c>
    </row>
    <row r="11" spans="1:16" ht="27.75" customHeight="1" thickTop="1" thickBot="1">
      <c r="A11" s="54"/>
      <c r="B11" s="55"/>
      <c r="C11" s="8" t="s">
        <v>64</v>
      </c>
      <c r="D11" s="9">
        <v>30</v>
      </c>
      <c r="E11" s="4">
        <v>133400</v>
      </c>
      <c r="F11" s="4">
        <v>12060</v>
      </c>
      <c r="G11" s="4">
        <f>G5*1.54</f>
        <v>265650</v>
      </c>
      <c r="H11" s="4">
        <f>IF(D11&gt;=12,(IF(D11&gt;20,8,D11-12)*2+100)%*B13*16%,(100-(12-D11)*2)*B13%*16%)</f>
        <v>48627.200000000004</v>
      </c>
      <c r="I11" s="4">
        <f>IF(D11&gt;=12,(IF(D11&gt;20,8,D11-12)*2+100)%*B15*16%,(100-(12-D11)*2)*B15%*16%)</f>
        <v>58464</v>
      </c>
      <c r="J11" s="4">
        <f>IF(D11&gt;=12,(IF(D11&gt;30,18,D11-12)*3+100)%*B14*16%,(100-(12-D11)*3)*B14%*16%)</f>
        <v>97328</v>
      </c>
      <c r="K11" s="20">
        <f t="shared" si="0"/>
        <v>2.7433206106870225</v>
      </c>
      <c r="L11" s="20">
        <f t="shared" si="1"/>
        <v>2.7294303797468356</v>
      </c>
      <c r="M11" s="20">
        <f t="shared" si="2"/>
        <v>0.20628078817733991</v>
      </c>
      <c r="N11" s="21">
        <f t="shared" si="3"/>
        <v>3.8406488549618314</v>
      </c>
      <c r="O11" s="22">
        <f t="shared" si="3"/>
        <v>3.8212025316455693</v>
      </c>
      <c r="P11" s="22">
        <f t="shared" si="3"/>
        <v>0.28879310344827586</v>
      </c>
    </row>
    <row r="12" spans="1:16" ht="37.5" customHeight="1" thickTop="1" thickBot="1">
      <c r="A12" s="54"/>
      <c r="B12" s="55"/>
      <c r="C12" s="8" t="s">
        <v>65</v>
      </c>
      <c r="D12" s="9">
        <v>40</v>
      </c>
      <c r="E12" s="4">
        <v>133400</v>
      </c>
      <c r="F12" s="4">
        <v>12060</v>
      </c>
      <c r="G12" s="4">
        <v>265650</v>
      </c>
      <c r="H12" s="4">
        <f>IF(D12&gt;=12,(IF(D12&gt;20,8,D12-12)*2+100)%*B13*16%,(100-(12-D12)*2)*B13%*16%)</f>
        <v>48627.200000000004</v>
      </c>
      <c r="I12" s="4">
        <f>IF(D12&gt;=12,(IF(D12&gt;20,8,D12-12)*2+100)%*B15*16%,(100-(12-D12)*2)*B15%*16%)</f>
        <v>58464</v>
      </c>
      <c r="J12" s="4">
        <f>IF(D12&gt;=12,(IF(D12&gt;30,18,D12-12)*3+100)%*B14*16%,(100-(12-D12)*3)*B14%*16%)</f>
        <v>97328</v>
      </c>
      <c r="K12" s="20">
        <f t="shared" si="0"/>
        <v>2.7433206106870225</v>
      </c>
      <c r="L12" s="20">
        <f t="shared" si="1"/>
        <v>2.7294303797468356</v>
      </c>
      <c r="M12" s="20">
        <f t="shared" si="2"/>
        <v>0.20628078817733991</v>
      </c>
      <c r="N12" s="21">
        <f t="shared" si="3"/>
        <v>3.8406488549618314</v>
      </c>
      <c r="O12" s="22">
        <f t="shared" si="3"/>
        <v>3.8212025316455693</v>
      </c>
      <c r="P12" s="22">
        <f t="shared" si="3"/>
        <v>0.28879310344827586</v>
      </c>
    </row>
    <row r="13" spans="1:16" ht="20.25" thickTop="1">
      <c r="A13" s="6" t="s">
        <v>8</v>
      </c>
      <c r="B13" s="5">
        <v>262000</v>
      </c>
      <c r="C13" s="15"/>
      <c r="D13" s="10"/>
      <c r="E13" s="11" t="s">
        <v>20</v>
      </c>
      <c r="F13" s="11"/>
      <c r="G13" s="11" t="s">
        <v>23</v>
      </c>
      <c r="H13" s="11"/>
      <c r="I13" s="11"/>
      <c r="J13" s="11"/>
    </row>
    <row r="14" spans="1:16" ht="19.5">
      <c r="A14" s="6" t="s">
        <v>9</v>
      </c>
      <c r="B14" s="5">
        <v>395000</v>
      </c>
      <c r="C14" s="16"/>
      <c r="D14" s="13"/>
      <c r="E14" s="14" t="s">
        <v>21</v>
      </c>
      <c r="F14" s="14"/>
      <c r="G14" s="14" t="s">
        <v>22</v>
      </c>
      <c r="H14" s="14"/>
      <c r="I14" s="14"/>
      <c r="J14" s="14"/>
    </row>
    <row r="15" spans="1:16" ht="19.5">
      <c r="A15" s="6" t="s">
        <v>10</v>
      </c>
      <c r="B15" s="7">
        <v>315000</v>
      </c>
      <c r="C15" s="16"/>
      <c r="D15" s="13"/>
      <c r="E15" s="14"/>
      <c r="F15" s="14"/>
      <c r="G15" s="14"/>
      <c r="H15" s="14"/>
      <c r="I15" s="14"/>
      <c r="J15" s="14"/>
    </row>
    <row r="16" spans="1:16" ht="19.5">
      <c r="A16" s="17" t="s">
        <v>16</v>
      </c>
      <c r="B16" s="17">
        <v>40</v>
      </c>
      <c r="C16" s="12"/>
      <c r="D16" s="13"/>
      <c r="E16" s="14"/>
      <c r="F16" s="14"/>
      <c r="G16" s="14"/>
      <c r="H16" s="14"/>
      <c r="I16" s="14"/>
      <c r="J16" s="14"/>
    </row>
    <row r="17" spans="3:10">
      <c r="C17" s="12"/>
      <c r="D17" s="13"/>
      <c r="E17" s="14"/>
      <c r="F17" s="14"/>
      <c r="G17" s="14"/>
      <c r="H17" s="14">
        <v>9</v>
      </c>
      <c r="I17" s="14"/>
      <c r="J17" s="14"/>
    </row>
    <row r="18" spans="3:10">
      <c r="C18" s="12"/>
      <c r="D18" s="13"/>
      <c r="E18" s="14"/>
      <c r="F18" s="14"/>
      <c r="G18" s="14"/>
      <c r="H18" s="14"/>
      <c r="I18" s="14"/>
      <c r="J18" s="14"/>
    </row>
    <row r="19" spans="3:10">
      <c r="C19" s="12"/>
      <c r="D19" s="13"/>
      <c r="E19" s="14"/>
      <c r="F19" s="14"/>
      <c r="G19" s="14"/>
      <c r="H19" s="14"/>
      <c r="I19" s="14"/>
      <c r="J19" s="14"/>
    </row>
    <row r="20" spans="3:10">
      <c r="C20" s="12"/>
      <c r="D20" s="13"/>
      <c r="E20" s="14"/>
      <c r="F20" s="14"/>
      <c r="G20" s="14"/>
      <c r="H20" s="14"/>
      <c r="I20" s="14"/>
      <c r="J20" s="14"/>
    </row>
    <row r="21" spans="3:10">
      <c r="C21" s="12"/>
      <c r="D21" s="13"/>
      <c r="E21" s="14"/>
      <c r="F21" s="14"/>
      <c r="G21" s="14"/>
      <c r="H21" s="14"/>
      <c r="I21" s="14"/>
      <c r="J21" s="14"/>
    </row>
    <row r="22" spans="3:10">
      <c r="C22" s="12"/>
      <c r="D22" s="13"/>
      <c r="E22" s="14"/>
      <c r="F22" s="14"/>
      <c r="G22" s="14"/>
      <c r="H22" s="14"/>
      <c r="I22" s="14"/>
      <c r="J22" s="14"/>
    </row>
  </sheetData>
  <mergeCells count="2">
    <mergeCell ref="A1:B1"/>
    <mergeCell ref="A2:B12"/>
  </mergeCells>
  <pageMargins left="3.937007874015748E-2" right="0.23622047244094491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rightToLeft="1" topLeftCell="A7" workbookViewId="0">
      <selection activeCell="E7" sqref="E1:J1048576"/>
    </sheetView>
  </sheetViews>
  <sheetFormatPr defaultRowHeight="15"/>
  <cols>
    <col min="2" max="2" width="15.28515625" customWidth="1"/>
    <col min="4" max="4" width="6.42578125" customWidth="1"/>
    <col min="5" max="10" width="8.85546875" customWidth="1"/>
    <col min="11" max="12" width="7" customWidth="1"/>
    <col min="13" max="13" width="6.5703125" customWidth="1"/>
    <col min="14" max="14" width="6.85546875" customWidth="1"/>
    <col min="15" max="15" width="7.140625" customWidth="1"/>
  </cols>
  <sheetData>
    <row r="1" spans="1:16" s="29" customFormat="1" ht="91.5" customHeight="1" thickTop="1" thickBot="1">
      <c r="A1" s="30" t="s">
        <v>18</v>
      </c>
      <c r="B1" s="31"/>
      <c r="C1" s="1" t="s">
        <v>0</v>
      </c>
      <c r="D1" s="28" t="s">
        <v>1</v>
      </c>
      <c r="E1" s="2" t="s">
        <v>6</v>
      </c>
      <c r="F1" s="2" t="s">
        <v>7</v>
      </c>
      <c r="G1" s="2" t="s">
        <v>13</v>
      </c>
      <c r="H1" s="2" t="s">
        <v>2</v>
      </c>
      <c r="I1" s="2" t="s">
        <v>11</v>
      </c>
      <c r="J1" s="2" t="s">
        <v>3</v>
      </c>
      <c r="K1" s="3" t="s">
        <v>4</v>
      </c>
      <c r="L1" s="3" t="s">
        <v>5</v>
      </c>
      <c r="M1" s="3" t="s">
        <v>12</v>
      </c>
      <c r="N1" s="18" t="s">
        <v>14</v>
      </c>
      <c r="O1" s="19" t="s">
        <v>15</v>
      </c>
      <c r="P1" s="19" t="s">
        <v>17</v>
      </c>
    </row>
    <row r="2" spans="1:16" ht="40.5" thickTop="1" thickBot="1">
      <c r="A2" s="23">
        <v>10</v>
      </c>
      <c r="B2" s="24"/>
      <c r="C2" s="8" t="s">
        <v>78</v>
      </c>
      <c r="D2" s="9">
        <v>6</v>
      </c>
      <c r="E2" s="4">
        <f>E5*0.88</f>
        <v>149600</v>
      </c>
      <c r="F2" s="4">
        <f>F5*0.88</f>
        <v>134640</v>
      </c>
      <c r="G2" s="4">
        <f>G5*0.82</f>
        <v>209100</v>
      </c>
      <c r="H2" s="4">
        <f>IF(D2&gt;=12,(IF(D2&gt;20,8,D2-12)*2+100)%*B11*16%,(100-(12-D2)*2)*B11%*16%)</f>
        <v>55334.400000000001</v>
      </c>
      <c r="I2" s="4">
        <f>IF(D2&gt;=12,(IF(D2&gt;20,8,D2-12)*2+100)%*B13*16%,(100-(12-D2)*2)*B13%*16%)</f>
        <v>66880</v>
      </c>
      <c r="J2" s="4">
        <f>IF(D2&gt;=12,(IF(D2&gt;30,18,D2-12)*3+100)%*B12*16%,(100-(12-D2)*3)*B12%*16%)</f>
        <v>77408</v>
      </c>
      <c r="K2" s="20">
        <f t="shared" ref="K2:K10" si="0">E2/H2</f>
        <v>2.7035623409669212</v>
      </c>
      <c r="L2" s="20">
        <f t="shared" ref="L2:L10" si="1">G2/J2</f>
        <v>2.7012711864406778</v>
      </c>
      <c r="M2" s="20">
        <f>F2/I2</f>
        <v>2.013157894736842</v>
      </c>
      <c r="N2" s="21">
        <f t="shared" ref="N2:N10" si="2">K2*(100+$B$14)%</f>
        <v>3.7849872773536894</v>
      </c>
      <c r="O2" s="22">
        <f t="shared" ref="O2:O10" si="3">L2*(100+$B$14)%</f>
        <v>3.7817796610169485</v>
      </c>
      <c r="P2" s="22">
        <f t="shared" ref="P2:P10" si="4">M2*(100+$B$14)%</f>
        <v>2.8184210526315785</v>
      </c>
    </row>
    <row r="3" spans="1:16" ht="40.5" thickTop="1" thickBot="1">
      <c r="A3" s="25"/>
      <c r="B3" s="26"/>
      <c r="C3" s="8" t="s">
        <v>58</v>
      </c>
      <c r="D3" s="9">
        <v>8</v>
      </c>
      <c r="E3" s="4">
        <f>E5*0.92</f>
        <v>156400</v>
      </c>
      <c r="F3" s="4">
        <f>F5*0.92</f>
        <v>140760</v>
      </c>
      <c r="G3" s="4">
        <f>G5*0.88</f>
        <v>224400</v>
      </c>
      <c r="H3" s="4">
        <f>IF(D3&gt;=12,(IF(D3&gt;20,8,D3-12)*2+100)%*B11*16%,(100-(12-D3)*2)*B11%*16%)</f>
        <v>57849.599999999999</v>
      </c>
      <c r="I3" s="4">
        <f>IF(D3&gt;=12,(IF(D3&gt;20,8,D3-12)*2+100)%*B13*16%,(100-(12-D3)*2)*B13%*16%)</f>
        <v>69920</v>
      </c>
      <c r="J3" s="4">
        <f>IF(D3&gt;=12,(IF(D3&gt;30,18,D3-12)*3+100)%*B12*16%,(100-(12-D3)*3)*B12%*16%)</f>
        <v>83072</v>
      </c>
      <c r="K3" s="20">
        <f t="shared" si="0"/>
        <v>2.7035623409669212</v>
      </c>
      <c r="L3" s="20">
        <f t="shared" si="1"/>
        <v>2.7012711864406778</v>
      </c>
      <c r="M3" s="20">
        <f t="shared" ref="M3:M10" si="5">F3/I3</f>
        <v>2.013157894736842</v>
      </c>
      <c r="N3" s="21">
        <f t="shared" si="2"/>
        <v>3.7849872773536894</v>
      </c>
      <c r="O3" s="22">
        <f t="shared" si="3"/>
        <v>3.7817796610169485</v>
      </c>
      <c r="P3" s="22">
        <f t="shared" si="4"/>
        <v>2.8184210526315785</v>
      </c>
    </row>
    <row r="4" spans="1:16" ht="40.5" thickTop="1" thickBot="1">
      <c r="A4" s="25" t="s">
        <v>57</v>
      </c>
      <c r="B4" s="26"/>
      <c r="C4" s="8" t="s">
        <v>78</v>
      </c>
      <c r="D4" s="9">
        <v>10</v>
      </c>
      <c r="E4" s="4">
        <f>E5*0.96</f>
        <v>163200</v>
      </c>
      <c r="F4" s="4">
        <f>F5*0.96</f>
        <v>146880</v>
      </c>
      <c r="G4" s="4">
        <f>G5*0.94</f>
        <v>239700</v>
      </c>
      <c r="H4" s="4">
        <f>IF(D4&gt;=12,(IF(D4&gt;20,8,D4-12)*2+100)%*B11*16%,(100-(12-D4)*2)*B11%*16%)</f>
        <v>60364.800000000003</v>
      </c>
      <c r="I4" s="4">
        <f>IF(D4&gt;=12,(IF(D4&gt;20,8,D4-12)*2+100)%*B13*16%,(100-(12-D4)*2)*B13%*16%)</f>
        <v>72960</v>
      </c>
      <c r="J4" s="4">
        <f>IF(D4&gt;=12,(IF(D4&gt;30,18,D4-12)*3+100)%*B12*16%,(100-(12-D4)*3)*B12%*16%)</f>
        <v>88736</v>
      </c>
      <c r="K4" s="20">
        <f t="shared" si="0"/>
        <v>2.7035623409669212</v>
      </c>
      <c r="L4" s="20">
        <f t="shared" si="1"/>
        <v>2.7012711864406778</v>
      </c>
      <c r="M4" s="20">
        <f t="shared" si="5"/>
        <v>2.013157894736842</v>
      </c>
      <c r="N4" s="21">
        <f t="shared" si="2"/>
        <v>3.7849872773536894</v>
      </c>
      <c r="O4" s="22">
        <f t="shared" si="3"/>
        <v>3.7817796610169485</v>
      </c>
      <c r="P4" s="22">
        <f t="shared" si="4"/>
        <v>2.8184210526315785</v>
      </c>
    </row>
    <row r="5" spans="1:16" ht="40.5" thickTop="1" thickBot="1">
      <c r="A5" s="25"/>
      <c r="B5" s="26"/>
      <c r="C5" s="8" t="s">
        <v>59</v>
      </c>
      <c r="D5" s="9">
        <v>12</v>
      </c>
      <c r="E5" s="4">
        <v>170000</v>
      </c>
      <c r="F5" s="4">
        <v>153000</v>
      </c>
      <c r="G5" s="4">
        <v>255000</v>
      </c>
      <c r="H5" s="4">
        <f>IF(D5&gt;=12,(IF(D5&gt;20,8,D5-12)*2+100)%*B11*16%,(100-(12-D5)*2)*B11%*16%)</f>
        <v>62880</v>
      </c>
      <c r="I5" s="4">
        <f>IF(D5&gt;=12,(IF(D5&gt;20,8,D5-12)*2+100)%*B13*16%,(100-(12-D5)*2)*B13%*16%)</f>
        <v>76000</v>
      </c>
      <c r="J5" s="4">
        <f>IF(D5&gt;=12,(IF(D5&gt;30,18,D5-12)*3+100)%*B12*16%,(100-(12-D5)*3)*B12%*16%)</f>
        <v>94400</v>
      </c>
      <c r="K5" s="20">
        <f t="shared" si="0"/>
        <v>2.7035623409669212</v>
      </c>
      <c r="L5" s="20">
        <f t="shared" si="1"/>
        <v>2.7012711864406778</v>
      </c>
      <c r="M5" s="20">
        <f t="shared" si="5"/>
        <v>2.013157894736842</v>
      </c>
      <c r="N5" s="21">
        <f t="shared" si="2"/>
        <v>3.7849872773536894</v>
      </c>
      <c r="O5" s="22">
        <f t="shared" si="3"/>
        <v>3.7817796610169485</v>
      </c>
      <c r="P5" s="22">
        <f t="shared" si="4"/>
        <v>2.8184210526315785</v>
      </c>
    </row>
    <row r="6" spans="1:16" ht="40.5" thickTop="1" thickBot="1">
      <c r="A6" s="25"/>
      <c r="B6" s="26"/>
      <c r="C6" s="8" t="s">
        <v>79</v>
      </c>
      <c r="D6" s="9">
        <v>14</v>
      </c>
      <c r="E6" s="4">
        <f>E5*1.04</f>
        <v>176800</v>
      </c>
      <c r="F6" s="4">
        <f>F5*1.04</f>
        <v>159120</v>
      </c>
      <c r="G6" s="4">
        <f>G5*1.06</f>
        <v>270300</v>
      </c>
      <c r="H6" s="4">
        <f>IF(D6&gt;=12,(IF(D6&gt;20,8,D6-12)*2+100)%*B11*16%,(100-(12-D6)*2)*B11%*16%)</f>
        <v>65395.200000000004</v>
      </c>
      <c r="I6" s="4">
        <f>IF(D6&gt;=12,(IF(D6&gt;20,8,D6-12)*2+100)%*B13*16%,(100-(12-D6)*2)*B13%*16%)</f>
        <v>79040</v>
      </c>
      <c r="J6" s="4">
        <f>IF(D6&gt;=12,(IF(D6&gt;30,18,D6-12)*3+100)%*B12*16%,(100-(12-D6)*3)*B12%*16%)</f>
        <v>100064</v>
      </c>
      <c r="K6" s="20">
        <f t="shared" si="0"/>
        <v>2.7035623409669207</v>
      </c>
      <c r="L6" s="20">
        <f t="shared" si="1"/>
        <v>2.7012711864406778</v>
      </c>
      <c r="M6" s="20">
        <f t="shared" si="5"/>
        <v>2.013157894736842</v>
      </c>
      <c r="N6" s="21">
        <f t="shared" si="2"/>
        <v>3.7849872773536886</v>
      </c>
      <c r="O6" s="22">
        <f t="shared" si="3"/>
        <v>3.7817796610169485</v>
      </c>
      <c r="P6" s="22">
        <f t="shared" si="4"/>
        <v>2.8184210526315785</v>
      </c>
    </row>
    <row r="7" spans="1:16" ht="40.5" thickTop="1" thickBot="1">
      <c r="A7" s="25"/>
      <c r="B7" s="26"/>
      <c r="C7" s="8" t="s">
        <v>60</v>
      </c>
      <c r="D7" s="9">
        <v>16</v>
      </c>
      <c r="E7" s="4">
        <f>E5*1.08</f>
        <v>183600</v>
      </c>
      <c r="F7" s="4">
        <f>F5*1.08</f>
        <v>165240</v>
      </c>
      <c r="G7" s="4">
        <f>G5*1.12</f>
        <v>285600</v>
      </c>
      <c r="H7" s="4">
        <f>IF(D7&gt;=12,(IF(D7&gt;20,8,D7-12)*2+100)%*B11*16%,(100-(12-D7)*2)*B11%*16%)</f>
        <v>67910.399999999994</v>
      </c>
      <c r="I7" s="4">
        <f>IF(D7&gt;=12,(IF(D7&gt;20,8,D7-12)*2+100)%*B13*16%,(100-(12-D7)*2)*B13%*16%)</f>
        <v>82080.000000000015</v>
      </c>
      <c r="J7" s="4">
        <f>IF(D7&gt;=12,(IF(D7&gt;30,18,D7-12)*3+100)%*B12*16%,(100-(12-D7)*3)*B12%*16%)</f>
        <v>105728.00000000001</v>
      </c>
      <c r="K7" s="20">
        <f t="shared" si="0"/>
        <v>2.7035623409669212</v>
      </c>
      <c r="L7" s="20">
        <f t="shared" si="1"/>
        <v>2.7012711864406778</v>
      </c>
      <c r="M7" s="20">
        <f t="shared" si="5"/>
        <v>2.0131578947368416</v>
      </c>
      <c r="N7" s="21">
        <f t="shared" si="2"/>
        <v>3.7849872773536894</v>
      </c>
      <c r="O7" s="22">
        <f t="shared" si="3"/>
        <v>3.7817796610169485</v>
      </c>
      <c r="P7" s="22">
        <f t="shared" si="4"/>
        <v>2.818421052631578</v>
      </c>
    </row>
    <row r="8" spans="1:16" ht="21" thickTop="1" thickBot="1">
      <c r="A8" s="25"/>
      <c r="B8" s="26"/>
      <c r="C8" s="8"/>
      <c r="D8" s="9">
        <v>20</v>
      </c>
      <c r="E8" s="4">
        <f>E5*1.16</f>
        <v>197200</v>
      </c>
      <c r="F8" s="4">
        <f>F5*1.16</f>
        <v>177480</v>
      </c>
      <c r="G8" s="4">
        <f>G5*1.24</f>
        <v>316200</v>
      </c>
      <c r="H8" s="4">
        <f>IF(D8&gt;=12,(IF(D8&gt;20,8,D8-12)*2+100)%*B11*16%,(100-(12-D8)*2)*B11%*16%)</f>
        <v>72940.799999999988</v>
      </c>
      <c r="I8" s="4">
        <f>IF(D8&gt;=12,(IF(D8&gt;20,8,D8-12)*2+100)%*B13*16%,(100-(12-D8)*2)*B13%*16%)</f>
        <v>88160</v>
      </c>
      <c r="J8" s="4">
        <f>IF(D8&gt;=12,(IF(D8&gt;30,18,D8-12)*3+100)%*B12*16%,(100-(12-D8)*3)*B12%*16%)</f>
        <v>117056</v>
      </c>
      <c r="K8" s="20">
        <f t="shared" si="0"/>
        <v>2.7035623409669216</v>
      </c>
      <c r="L8" s="20">
        <f t="shared" si="1"/>
        <v>2.7012711864406778</v>
      </c>
      <c r="M8" s="20">
        <f t="shared" si="5"/>
        <v>2.013157894736842</v>
      </c>
      <c r="N8" s="21">
        <f t="shared" si="2"/>
        <v>3.7849872773536899</v>
      </c>
      <c r="O8" s="22">
        <f t="shared" si="3"/>
        <v>3.7817796610169485</v>
      </c>
      <c r="P8" s="22">
        <f t="shared" si="4"/>
        <v>2.8184210526315785</v>
      </c>
    </row>
    <row r="9" spans="1:16" ht="21" thickTop="1" thickBot="1">
      <c r="A9" s="25"/>
      <c r="B9" s="26"/>
      <c r="C9" s="8"/>
      <c r="D9" s="9">
        <v>24</v>
      </c>
      <c r="E9" s="4">
        <v>197200</v>
      </c>
      <c r="F9" s="4">
        <v>177480</v>
      </c>
      <c r="G9" s="4">
        <f>G5*1.36</f>
        <v>346800</v>
      </c>
      <c r="H9" s="4">
        <f>IF(D9&gt;=12,(IF(D9&gt;20,8,D9-12)*2+100)%*B11*16%,(100-(12-D9)*2)*B11%*16%)</f>
        <v>72940.799999999988</v>
      </c>
      <c r="I9" s="4">
        <f>IF(D9&gt;=12,(IF(D9&gt;20,8,D9-12)*2+100)%*B13*16%,(100-(12-D9)*2)*B13%*16%)</f>
        <v>88160</v>
      </c>
      <c r="J9" s="4">
        <f>IF(D9&gt;=12,(IF(D9&gt;30,18,D9-12)*3+100)%*B12*16%,(100-(12-D9)*3)*B12%*16%)</f>
        <v>128384</v>
      </c>
      <c r="K9" s="20">
        <f t="shared" si="0"/>
        <v>2.7035623409669216</v>
      </c>
      <c r="L9" s="20">
        <f t="shared" si="1"/>
        <v>2.7012711864406778</v>
      </c>
      <c r="M9" s="20">
        <f t="shared" si="5"/>
        <v>2.013157894736842</v>
      </c>
      <c r="N9" s="21">
        <f t="shared" si="2"/>
        <v>3.7849872773536899</v>
      </c>
      <c r="O9" s="22">
        <f t="shared" si="3"/>
        <v>3.7817796610169485</v>
      </c>
      <c r="P9" s="22">
        <f t="shared" si="4"/>
        <v>2.8184210526315785</v>
      </c>
    </row>
    <row r="10" spans="1:16" ht="21" thickTop="1" thickBot="1">
      <c r="A10" s="25"/>
      <c r="B10" s="26"/>
      <c r="C10" s="8" t="s">
        <v>40</v>
      </c>
      <c r="D10" s="9">
        <v>76</v>
      </c>
      <c r="E10" s="4">
        <v>197200</v>
      </c>
      <c r="F10" s="4">
        <v>177480</v>
      </c>
      <c r="G10" s="4">
        <f>G5*1.54</f>
        <v>392700</v>
      </c>
      <c r="H10" s="4">
        <f>IF(D10&gt;=12,(IF(D10&gt;20,8,D10-12)*2+100)%*B11*16%,(100-(12-D10)*2)*B11%*16%)</f>
        <v>72940.799999999988</v>
      </c>
      <c r="I10" s="4">
        <f>IF(D10&gt;=12,(IF(D10&gt;20,8,D10-12)*2+100)%*B13*16%,(100-(12-D10)*2)*B13%*16%)</f>
        <v>88160</v>
      </c>
      <c r="J10" s="4">
        <f>IF(D10&gt;=12,(IF(D10&gt;30,18,D10-12)*3+100)%*B12*16%,(100-(12-D10)*3)*B12%*16%)</f>
        <v>145376</v>
      </c>
      <c r="K10" s="20">
        <f t="shared" si="0"/>
        <v>2.7035623409669216</v>
      </c>
      <c r="L10" s="20">
        <f t="shared" si="1"/>
        <v>2.7012711864406778</v>
      </c>
      <c r="M10" s="20">
        <f t="shared" si="5"/>
        <v>2.013157894736842</v>
      </c>
      <c r="N10" s="21">
        <f t="shared" si="2"/>
        <v>3.7849872773536899</v>
      </c>
      <c r="O10" s="22">
        <f t="shared" si="3"/>
        <v>3.7817796610169485</v>
      </c>
      <c r="P10" s="22">
        <f t="shared" si="4"/>
        <v>2.8184210526315785</v>
      </c>
    </row>
    <row r="11" spans="1:16" ht="20.25" thickTop="1">
      <c r="A11" s="6" t="s">
        <v>8</v>
      </c>
      <c r="B11" s="5">
        <v>393000</v>
      </c>
      <c r="C11" s="15"/>
      <c r="D11" s="10"/>
      <c r="E11" s="11" t="s">
        <v>20</v>
      </c>
      <c r="F11" s="11"/>
      <c r="G11" s="11" t="s">
        <v>23</v>
      </c>
      <c r="H11" s="11"/>
      <c r="I11" s="11"/>
      <c r="J11" s="11"/>
    </row>
    <row r="12" spans="1:16" ht="19.5">
      <c r="A12" s="6" t="s">
        <v>9</v>
      </c>
      <c r="B12" s="5">
        <v>590000</v>
      </c>
      <c r="C12" s="16"/>
      <c r="D12" s="13"/>
      <c r="E12" s="14" t="s">
        <v>21</v>
      </c>
      <c r="F12" s="14"/>
      <c r="G12" s="14" t="s">
        <v>22</v>
      </c>
      <c r="H12" s="14"/>
      <c r="I12" s="14"/>
      <c r="J12" s="14"/>
    </row>
    <row r="13" spans="1:16" ht="19.5">
      <c r="A13" s="6" t="s">
        <v>10</v>
      </c>
      <c r="B13" s="7">
        <v>475000</v>
      </c>
      <c r="C13" s="16"/>
      <c r="D13" s="13"/>
      <c r="E13" s="14"/>
      <c r="F13" s="14"/>
      <c r="G13" s="14"/>
      <c r="H13" s="14"/>
      <c r="I13" s="14"/>
      <c r="J13" s="14"/>
      <c r="K13">
        <v>18</v>
      </c>
    </row>
    <row r="14" spans="1:16" ht="19.5">
      <c r="A14" s="17" t="s">
        <v>16</v>
      </c>
      <c r="B14" s="17">
        <v>40</v>
      </c>
      <c r="C14" s="12"/>
      <c r="D14" s="13"/>
      <c r="E14" s="14"/>
      <c r="F14" s="14"/>
      <c r="G14" s="14"/>
      <c r="H14" s="14"/>
      <c r="I14" s="14"/>
      <c r="J14" s="14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5"/>
  <sheetViews>
    <sheetView rightToLeft="1" tabSelected="1" view="pageLayout" zoomScale="90" zoomScaleNormal="70" zoomScalePageLayoutView="90" workbookViewId="0">
      <selection activeCell="J14" sqref="J14"/>
    </sheetView>
  </sheetViews>
  <sheetFormatPr defaultRowHeight="15"/>
  <cols>
    <col min="2" max="2" width="15.28515625" customWidth="1"/>
    <col min="7" max="7" width="13.28515625" customWidth="1"/>
  </cols>
  <sheetData>
    <row r="1" spans="1:16" s="29" customFormat="1" ht="58.5" thickTop="1" thickBot="1">
      <c r="A1" s="30" t="s">
        <v>18</v>
      </c>
      <c r="B1" s="31"/>
      <c r="C1" s="1" t="s">
        <v>0</v>
      </c>
      <c r="D1" s="28" t="s">
        <v>1</v>
      </c>
      <c r="E1" s="2" t="s">
        <v>6</v>
      </c>
      <c r="F1" s="2" t="s">
        <v>7</v>
      </c>
      <c r="G1" s="2" t="s">
        <v>13</v>
      </c>
      <c r="H1" s="2" t="s">
        <v>2</v>
      </c>
      <c r="I1" s="2" t="s">
        <v>11</v>
      </c>
      <c r="J1" s="2" t="s">
        <v>3</v>
      </c>
      <c r="K1" s="3" t="s">
        <v>4</v>
      </c>
      <c r="L1" s="3" t="s">
        <v>5</v>
      </c>
      <c r="M1" s="3" t="s">
        <v>12</v>
      </c>
      <c r="N1" s="18" t="s">
        <v>14</v>
      </c>
      <c r="O1" s="19" t="s">
        <v>15</v>
      </c>
      <c r="P1" s="19" t="s">
        <v>17</v>
      </c>
    </row>
    <row r="2" spans="1:16" ht="33" customHeight="1" thickTop="1" thickBot="1">
      <c r="A2" s="23">
        <v>11</v>
      </c>
      <c r="B2" s="24"/>
      <c r="C2" s="8" t="s">
        <v>85</v>
      </c>
      <c r="D2" s="9">
        <v>12</v>
      </c>
      <c r="E2" s="4">
        <v>73425</v>
      </c>
      <c r="F2" s="4">
        <v>66082</v>
      </c>
      <c r="G2" s="4">
        <v>110138</v>
      </c>
      <c r="H2" s="4">
        <f>IF(D2&gt;=12,(IF(D2&gt;20,8,D2-12)*2+100)%*B11*16%,(100-(12-D2)*2)*B11%*16%)</f>
        <v>47040</v>
      </c>
      <c r="I2" s="4">
        <f>IF(D2&gt;=12,(IF(D2&gt;20,8,D2-12)*2+100)%*B13*16%,(100-(12-D2)*2)*B13%*16%)</f>
        <v>56800</v>
      </c>
      <c r="J2" s="4">
        <f>IF(D2&gt;=12,(IF(D2&gt;30,18,D2-12)*3+100)%*B12*16%,(100-(12-D2)*3)*B12%*16%)</f>
        <v>71200</v>
      </c>
      <c r="K2" s="20">
        <f t="shared" ref="K2:K10" si="0">E2/H2</f>
        <v>1.5609056122448979</v>
      </c>
      <c r="L2" s="20">
        <f t="shared" ref="L2:L10" si="1">G2/J2</f>
        <v>1.5468820224719102</v>
      </c>
      <c r="M2" s="20">
        <f>F2/I2</f>
        <v>1.1634154929577465</v>
      </c>
      <c r="N2" s="21">
        <f t="shared" ref="N2:N10" si="2">K2*(100+$B$14)%</f>
        <v>1.5609056122448979</v>
      </c>
      <c r="O2" s="22">
        <f t="shared" ref="O2:O10" si="3">L2*(100+$B$14)%</f>
        <v>1.5468820224719102</v>
      </c>
      <c r="P2" s="22">
        <f t="shared" ref="P2:P10" si="4">M2*(100+$B$14)%</f>
        <v>1.1634154929577465</v>
      </c>
    </row>
    <row r="3" spans="1:16" ht="37.5" customHeight="1" thickTop="1" thickBot="1">
      <c r="A3" s="25"/>
      <c r="B3" s="26"/>
      <c r="C3" s="8" t="s">
        <v>84</v>
      </c>
      <c r="D3" s="9">
        <v>14</v>
      </c>
      <c r="E3" s="4">
        <f>E2*1.04</f>
        <v>76362</v>
      </c>
      <c r="F3" s="4">
        <f>F2*1.04</f>
        <v>68725.279999999999</v>
      </c>
      <c r="G3" s="4">
        <f>G2*1.06</f>
        <v>116746.28</v>
      </c>
      <c r="H3" s="4">
        <f>IF(D3&gt;=12,(IF(D3&gt;20,8,D3-12)*2+100)%*B11*16%,(100-(12-D3)*2)*B11%*16%)</f>
        <v>48921.599999999999</v>
      </c>
      <c r="I3" s="4">
        <f>IF(D3&gt;=12,(IF(D3&gt;20,8,D3-12)*2+100)%*B13*16%,(100-(12-D3)*2)*B13%*16%)</f>
        <v>59072</v>
      </c>
      <c r="J3" s="4">
        <f>IF(D3&gt;=12,(IF(D3&gt;30,18,D3-12)*3+100)%*B12*16%,(100-(12-D3)*3)*B12%*16%)</f>
        <v>75472</v>
      </c>
      <c r="K3" s="20">
        <f t="shared" si="0"/>
        <v>1.5609056122448981</v>
      </c>
      <c r="L3" s="20">
        <f t="shared" si="1"/>
        <v>1.5468820224719102</v>
      </c>
      <c r="M3" s="20">
        <f t="shared" ref="M3:M10" si="5">F3/I3</f>
        <v>1.1634154929577465</v>
      </c>
      <c r="N3" s="21">
        <f t="shared" si="2"/>
        <v>1.5609056122448981</v>
      </c>
      <c r="O3" s="22">
        <f t="shared" si="3"/>
        <v>1.5468820224719102</v>
      </c>
      <c r="P3" s="22">
        <f t="shared" si="4"/>
        <v>1.1634154929577465</v>
      </c>
    </row>
    <row r="4" spans="1:16" ht="28.5" customHeight="1" thickTop="1" thickBot="1">
      <c r="A4" s="25" t="s">
        <v>62</v>
      </c>
      <c r="B4" s="26"/>
      <c r="C4" s="8" t="s">
        <v>83</v>
      </c>
      <c r="D4" s="9">
        <v>16</v>
      </c>
      <c r="E4" s="4">
        <f>E2*1.08</f>
        <v>79299</v>
      </c>
      <c r="F4" s="4">
        <f>F2*1.08</f>
        <v>71368.56</v>
      </c>
      <c r="G4" s="4">
        <f>G2*1.12</f>
        <v>123354.56000000001</v>
      </c>
      <c r="H4" s="4">
        <f>IF(D4&gt;=12,(IF(D4&gt;20,8,D4-12)*2+100)%*B11*16%,(100-(12-D4)*2)*B11%*16%)</f>
        <v>50803.200000000004</v>
      </c>
      <c r="I4" s="4">
        <f>IF(D4&gt;=12,(IF(D4&gt;20,8,D4-12)*2+100)%*B13*16%,(100-(12-D4)*2)*B13%*16%)</f>
        <v>61344</v>
      </c>
      <c r="J4" s="4">
        <f>IF(D4&gt;=12,(IF(D4&gt;30,18,D4-12)*3+100)%*B12*16%,(100-(12-D4)*3)*B12%*16%)</f>
        <v>79744.000000000015</v>
      </c>
      <c r="K4" s="20">
        <f t="shared" si="0"/>
        <v>1.5609056122448979</v>
      </c>
      <c r="L4" s="20">
        <f t="shared" si="1"/>
        <v>1.54688202247191</v>
      </c>
      <c r="M4" s="20">
        <f t="shared" si="5"/>
        <v>1.1634154929577465</v>
      </c>
      <c r="N4" s="21">
        <f t="shared" si="2"/>
        <v>1.5609056122448979</v>
      </c>
      <c r="O4" s="22">
        <f t="shared" si="3"/>
        <v>1.54688202247191</v>
      </c>
      <c r="P4" s="22">
        <f t="shared" si="4"/>
        <v>1.1634154929577465</v>
      </c>
    </row>
    <row r="5" spans="1:16" ht="28.5" customHeight="1" thickTop="1" thickBot="1">
      <c r="A5" s="25"/>
      <c r="B5" s="26"/>
      <c r="C5" s="8" t="s">
        <v>83</v>
      </c>
      <c r="D5" s="9">
        <v>18</v>
      </c>
      <c r="E5" s="4">
        <f>E2*1.12</f>
        <v>82236.000000000015</v>
      </c>
      <c r="F5" s="27">
        <f>F2*1.12</f>
        <v>74011.840000000011</v>
      </c>
      <c r="G5" s="4">
        <f>G2*1.18</f>
        <v>129962.84</v>
      </c>
      <c r="H5" s="4">
        <f>IF(ID5&gt;=12,(IF(D5&gt;20,8,D5-12)*2+100)%*B11*16%,(100-(12-D5)*2)*B11%*16%)</f>
        <v>52684.800000000003</v>
      </c>
      <c r="I5" s="4">
        <f>IF(D5&gt;=12,(IF(D5&gt;20,8,D5-12)*2+100)%*B13*16%,(100-(12-D5)*2)*B13%*16%)</f>
        <v>63616.000000000007</v>
      </c>
      <c r="J5" s="4">
        <f>IF(D5&gt;=12,(IF(D5&gt;30,18,D5-12)*3+100)%*B12*16%,(100-(12-D5)*3)*B12%*16%)</f>
        <v>84016</v>
      </c>
      <c r="K5" s="20">
        <f t="shared" si="0"/>
        <v>1.5609056122448981</v>
      </c>
      <c r="L5" s="20">
        <f t="shared" si="1"/>
        <v>1.54688202247191</v>
      </c>
      <c r="M5" s="20">
        <f t="shared" si="5"/>
        <v>1.1634154929577465</v>
      </c>
      <c r="N5" s="21">
        <f t="shared" si="2"/>
        <v>1.5609056122448981</v>
      </c>
      <c r="O5" s="22">
        <f t="shared" si="3"/>
        <v>1.54688202247191</v>
      </c>
      <c r="P5" s="22">
        <f t="shared" si="4"/>
        <v>1.1634154929577465</v>
      </c>
    </row>
    <row r="6" spans="1:16" ht="34.5" customHeight="1" thickTop="1" thickBot="1">
      <c r="A6" s="25"/>
      <c r="B6" s="26"/>
      <c r="C6" s="8" t="s">
        <v>82</v>
      </c>
      <c r="D6" s="9">
        <v>20</v>
      </c>
      <c r="E6" s="4">
        <f>E2*1.16</f>
        <v>85173</v>
      </c>
      <c r="F6" s="4">
        <f>F2*1.16</f>
        <v>76655.12</v>
      </c>
      <c r="G6" s="4">
        <f>G2*1.24</f>
        <v>136571.12</v>
      </c>
      <c r="H6" s="4">
        <f>IF(D6&gt;=12,(IF(D6&gt;20,8,D6-12)*2+100)%*B11*16%,(100-(12-D6)*2)*B11%*16%)</f>
        <v>54566.400000000001</v>
      </c>
      <c r="I6" s="4">
        <f>IF(D6&gt;=12,(IF(D6&gt;20,8,D6-12)*2+100)%*B13*16%,(100-(12-D6)*2)*B13%*16%)</f>
        <v>65888</v>
      </c>
      <c r="J6" s="4">
        <f>IF(D6&gt;=12,(IF(D6&gt;30,18,D6-12)*3+100)%*B12*16%,(100-(12-D6)*3)*B12%*16%)</f>
        <v>88288</v>
      </c>
      <c r="K6" s="20">
        <f t="shared" si="0"/>
        <v>1.5609056122448979</v>
      </c>
      <c r="L6" s="20">
        <f t="shared" si="1"/>
        <v>1.54688202247191</v>
      </c>
      <c r="M6" s="20">
        <f t="shared" si="5"/>
        <v>1.1634154929577465</v>
      </c>
      <c r="N6" s="21">
        <f t="shared" si="2"/>
        <v>1.5609056122448979</v>
      </c>
      <c r="O6" s="22">
        <f t="shared" si="3"/>
        <v>1.54688202247191</v>
      </c>
      <c r="P6" s="22">
        <f t="shared" si="4"/>
        <v>1.1634154929577465</v>
      </c>
    </row>
    <row r="7" spans="1:16" ht="60" thickTop="1" thickBot="1">
      <c r="A7" s="25"/>
      <c r="B7" s="26"/>
      <c r="C7" s="8" t="s">
        <v>81</v>
      </c>
      <c r="D7" s="9">
        <v>24</v>
      </c>
      <c r="E7" s="4">
        <v>85173</v>
      </c>
      <c r="F7" s="4">
        <v>76655</v>
      </c>
      <c r="G7" s="4">
        <f>G2*1.36</f>
        <v>149787.68000000002</v>
      </c>
      <c r="H7" s="4">
        <f>IF(D7&gt;=12,(IF(D7&gt;20,8,D7-12)*2+100)%*B11*16%,(100-(12-D7)*2)*B11%*16%)</f>
        <v>54566.400000000001</v>
      </c>
      <c r="I7" s="4">
        <f>IF(D7&gt;=12,(IF(D7&gt;20,8,D7-12)*2+100)%*B13*16%,(100-(12-D7)*2)*B13%*16%)</f>
        <v>65888</v>
      </c>
      <c r="J7" s="4">
        <f>IF(D7&gt;=12,(IF(D7&gt;30,18,D7-12)*3+100)%*B12*16%,(100-(12-D7)*3)*B12%*16%)</f>
        <v>96832</v>
      </c>
      <c r="K7" s="20">
        <f t="shared" si="0"/>
        <v>1.5609056122448979</v>
      </c>
      <c r="L7" s="20">
        <f t="shared" si="1"/>
        <v>1.5468820224719104</v>
      </c>
      <c r="M7" s="20">
        <f t="shared" si="5"/>
        <v>1.1634136716852841</v>
      </c>
      <c r="N7" s="21">
        <f t="shared" si="2"/>
        <v>1.5609056122448979</v>
      </c>
      <c r="O7" s="22">
        <f t="shared" si="3"/>
        <v>1.5468820224719104</v>
      </c>
      <c r="P7" s="22">
        <f t="shared" si="4"/>
        <v>1.1634136716852841</v>
      </c>
    </row>
    <row r="8" spans="1:16" ht="39.75" customHeight="1" thickTop="1" thickBot="1">
      <c r="A8" s="25"/>
      <c r="B8" s="26"/>
      <c r="C8" s="8" t="s">
        <v>80</v>
      </c>
      <c r="D8" s="9">
        <v>30</v>
      </c>
      <c r="E8" s="4">
        <v>85173</v>
      </c>
      <c r="F8" s="4">
        <v>76655</v>
      </c>
      <c r="G8" s="4">
        <f>G2*1.54</f>
        <v>169612.52</v>
      </c>
      <c r="H8" s="4">
        <f>IF(D8&gt;=12,(IF(D8&gt;20,8,D8-12)*2+100)%*B11*16%,(100-(12-D8)*2)*B11%*16%)</f>
        <v>54566.400000000001</v>
      </c>
      <c r="I8" s="4">
        <f>IF(D8&gt;=12,(IF(D8&gt;20,8,D8-12)*2+100)%*B13*16%,(100-(12-D8)*2)*B13%*16%)</f>
        <v>65888</v>
      </c>
      <c r="J8" s="4">
        <f>IF(D8&gt;=12,(IF(D8&gt;30,18,D8-12)*3+100)%*B12*16%,(100-(12-D8)*3)*B12%*16%)</f>
        <v>109648</v>
      </c>
      <c r="K8" s="20">
        <f t="shared" si="0"/>
        <v>1.5609056122448979</v>
      </c>
      <c r="L8" s="20">
        <f t="shared" si="1"/>
        <v>1.54688202247191</v>
      </c>
      <c r="M8" s="20">
        <f t="shared" si="5"/>
        <v>1.1634136716852841</v>
      </c>
      <c r="N8" s="21">
        <f t="shared" si="2"/>
        <v>1.5609056122448979</v>
      </c>
      <c r="O8" s="22">
        <f t="shared" si="3"/>
        <v>1.54688202247191</v>
      </c>
      <c r="P8" s="22">
        <f t="shared" si="4"/>
        <v>1.1634136716852841</v>
      </c>
    </row>
    <row r="9" spans="1:16" ht="29.25" customHeight="1" thickTop="1" thickBot="1">
      <c r="A9" s="25"/>
      <c r="B9" s="26"/>
      <c r="C9" s="8" t="s">
        <v>61</v>
      </c>
      <c r="D9" s="9">
        <v>40</v>
      </c>
      <c r="E9" s="4">
        <v>85173</v>
      </c>
      <c r="F9" s="4">
        <v>76655</v>
      </c>
      <c r="G9" s="4">
        <v>169613</v>
      </c>
      <c r="H9" s="4">
        <f>IF(D9&gt;=12,(IF(D9&gt;20,8,D9-12)*2+100)%*B11*16%,(100-(12-D9)*2)*B11%*16%)</f>
        <v>54566.400000000001</v>
      </c>
      <c r="I9" s="4">
        <f>IF(D9&gt;=12,(IF(D9&gt;20,8,D9-12)*2+100)%*B13*16%,(100-(12-D9)*2)*B13%*16%)</f>
        <v>65888</v>
      </c>
      <c r="J9" s="4">
        <f>IF(D9&gt;=12,(IF(D9&gt;30,18,D9-12)*3+100)%*B12*16%,(100-(12-D9)*3)*B12%*16%)</f>
        <v>109648</v>
      </c>
      <c r="K9" s="20">
        <f t="shared" si="0"/>
        <v>1.5609056122448979</v>
      </c>
      <c r="L9" s="20">
        <f t="shared" si="1"/>
        <v>1.5468864001167373</v>
      </c>
      <c r="M9" s="20">
        <f t="shared" si="5"/>
        <v>1.1634136716852841</v>
      </c>
      <c r="N9" s="21">
        <f t="shared" si="2"/>
        <v>1.5609056122448979</v>
      </c>
      <c r="O9" s="22">
        <f t="shared" si="3"/>
        <v>1.5468864001167373</v>
      </c>
      <c r="P9" s="22">
        <f t="shared" si="4"/>
        <v>1.1634136716852841</v>
      </c>
    </row>
    <row r="10" spans="1:16" ht="31.5" customHeight="1" thickTop="1" thickBot="1">
      <c r="A10" s="25"/>
      <c r="B10" s="26"/>
      <c r="C10" s="8" t="s">
        <v>61</v>
      </c>
      <c r="D10" s="9">
        <v>76</v>
      </c>
      <c r="E10" s="4">
        <v>85173</v>
      </c>
      <c r="F10" s="4">
        <v>76655</v>
      </c>
      <c r="G10" s="4">
        <v>169613</v>
      </c>
      <c r="H10" s="4">
        <f>IF(D10&gt;=12,(IF(D10&gt;20,8,D10-12)*2+100)%*B11*16%,(100-(12-D10)*2)*B11%*16%)</f>
        <v>54566.400000000001</v>
      </c>
      <c r="I10" s="4">
        <f>IF(D10&gt;=12,(IF(D10&gt;20,8,D10-12)*2+100)%*B13*16%,(100-(12-D10)*2)*B13%*16%)</f>
        <v>65888</v>
      </c>
      <c r="J10" s="4">
        <f>IF(D10&gt;=12,(IF(D10&gt;30,18,D10-12)*3+100)%*B12*16%,(100-(12-D10)*3)*B12%*16%)</f>
        <v>109648</v>
      </c>
      <c r="K10" s="20">
        <f t="shared" si="0"/>
        <v>1.5609056122448979</v>
      </c>
      <c r="L10" s="20">
        <f t="shared" si="1"/>
        <v>1.5468864001167373</v>
      </c>
      <c r="M10" s="20">
        <f t="shared" si="5"/>
        <v>1.1634136716852841</v>
      </c>
      <c r="N10" s="21">
        <f t="shared" si="2"/>
        <v>1.5609056122448979</v>
      </c>
      <c r="O10" s="22">
        <f t="shared" si="3"/>
        <v>1.5468864001167373</v>
      </c>
      <c r="P10" s="22">
        <f t="shared" si="4"/>
        <v>1.1634136716852841</v>
      </c>
    </row>
    <row r="11" spans="1:16" ht="20.25" thickTop="1">
      <c r="A11" s="6" t="s">
        <v>8</v>
      </c>
      <c r="B11" s="5">
        <v>294000</v>
      </c>
      <c r="C11" s="15"/>
      <c r="D11" s="10"/>
      <c r="E11" s="11" t="s">
        <v>20</v>
      </c>
      <c r="F11" s="11"/>
      <c r="G11" s="11" t="s">
        <v>23</v>
      </c>
      <c r="H11" s="11"/>
      <c r="I11" s="11"/>
      <c r="J11" s="11"/>
    </row>
    <row r="12" spans="1:16" ht="19.5">
      <c r="A12" s="6" t="s">
        <v>9</v>
      </c>
      <c r="B12" s="5">
        <v>445000</v>
      </c>
      <c r="C12" s="16"/>
      <c r="D12" s="13"/>
      <c r="E12" s="14" t="s">
        <v>21</v>
      </c>
      <c r="F12" s="14"/>
      <c r="G12" s="14" t="s">
        <v>22</v>
      </c>
      <c r="H12" s="14"/>
      <c r="I12" s="14"/>
      <c r="J12" s="14"/>
    </row>
    <row r="13" spans="1:16" ht="19.5">
      <c r="A13" s="6" t="s">
        <v>10</v>
      </c>
      <c r="B13" s="7">
        <v>355000</v>
      </c>
      <c r="C13" s="16"/>
      <c r="D13" s="13"/>
      <c r="E13" s="14"/>
      <c r="F13" s="14"/>
      <c r="G13" s="14"/>
      <c r="H13" s="14"/>
      <c r="I13" s="14"/>
      <c r="J13" s="14"/>
    </row>
    <row r="14" spans="1:16" ht="19.5">
      <c r="A14" s="58" t="s">
        <v>88</v>
      </c>
      <c r="B14" s="59"/>
      <c r="C14" s="12"/>
      <c r="D14" s="13"/>
      <c r="E14" s="14"/>
      <c r="F14" s="14"/>
      <c r="G14" s="14"/>
      <c r="H14" s="14"/>
      <c r="I14" s="14"/>
      <c r="J14" s="14">
        <v>19</v>
      </c>
    </row>
    <row r="15" spans="1:16">
      <c r="D15" s="29"/>
    </row>
  </sheetData>
  <mergeCells count="1">
    <mergeCell ref="A14:B14"/>
  </mergeCells>
  <pageMargins left="0.25" right="0.25" top="0.22916666666666666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"/>
  <sheetViews>
    <sheetView rightToLeft="1" topLeftCell="A4" zoomScale="90" zoomScaleNormal="90" workbookViewId="0">
      <selection activeCell="K10" sqref="K10"/>
    </sheetView>
  </sheetViews>
  <sheetFormatPr defaultColWidth="11.28515625" defaultRowHeight="15"/>
  <cols>
    <col min="1" max="2" width="11.28515625" style="29"/>
    <col min="3" max="3" width="8" style="29" customWidth="1"/>
    <col min="4" max="4" width="7.140625" style="29" customWidth="1"/>
    <col min="5" max="5" width="8.85546875" style="29" customWidth="1"/>
    <col min="6" max="6" width="8.140625" style="29" customWidth="1"/>
    <col min="7" max="7" width="9.140625" style="29" customWidth="1"/>
    <col min="8" max="8" width="8.85546875" style="29" customWidth="1"/>
    <col min="9" max="10" width="7.140625" style="29" customWidth="1"/>
    <col min="11" max="11" width="6" style="29" customWidth="1"/>
    <col min="12" max="12" width="6.28515625" style="29" customWidth="1"/>
    <col min="13" max="13" width="6.5703125" style="29" customWidth="1"/>
    <col min="14" max="14" width="7.140625" style="29" customWidth="1"/>
    <col min="15" max="15" width="5.42578125" style="29" customWidth="1"/>
    <col min="16" max="16" width="5" style="29" customWidth="1"/>
    <col min="17" max="16384" width="11.28515625" style="29"/>
  </cols>
  <sheetData>
    <row r="1" spans="1:16" ht="65.25" customHeight="1" thickTop="1" thickBot="1">
      <c r="A1" s="30" t="s">
        <v>18</v>
      </c>
      <c r="B1" s="31"/>
      <c r="C1" s="1" t="s">
        <v>0</v>
      </c>
      <c r="D1" s="28" t="s">
        <v>1</v>
      </c>
      <c r="E1" s="2" t="s">
        <v>6</v>
      </c>
      <c r="F1" s="2" t="s">
        <v>7</v>
      </c>
      <c r="G1" s="2" t="s">
        <v>13</v>
      </c>
      <c r="H1" s="2" t="s">
        <v>2</v>
      </c>
      <c r="I1" s="2" t="s">
        <v>11</v>
      </c>
      <c r="J1" s="2" t="s">
        <v>3</v>
      </c>
      <c r="K1" s="3" t="s">
        <v>4</v>
      </c>
      <c r="L1" s="3" t="s">
        <v>5</v>
      </c>
      <c r="M1" s="3" t="s">
        <v>12</v>
      </c>
      <c r="N1" s="18" t="s">
        <v>14</v>
      </c>
      <c r="O1" s="19" t="s">
        <v>15</v>
      </c>
      <c r="P1" s="19" t="s">
        <v>17</v>
      </c>
    </row>
    <row r="2" spans="1:16" ht="36" customHeight="1" thickTop="1" thickBot="1">
      <c r="A2" s="32" t="s">
        <v>19</v>
      </c>
      <c r="B2" s="33"/>
      <c r="C2" s="8" t="s">
        <v>27</v>
      </c>
      <c r="D2" s="34">
        <v>8</v>
      </c>
      <c r="E2" s="35">
        <f>E4*0.92</f>
        <v>114149</v>
      </c>
      <c r="F2" s="35">
        <f>F4*0.92</f>
        <v>102734.56</v>
      </c>
      <c r="G2" s="35">
        <f>G4*0.88</f>
        <v>163779.44</v>
      </c>
      <c r="H2" s="35">
        <f>IF(D2&gt;=12,(IF(D2&gt;20,8,D2-12)*2+100)%*B9*16%,(100-(12-D2)*2)*B9%*16%)</f>
        <v>52697.599999999999</v>
      </c>
      <c r="I2" s="35">
        <f>IF(D2&gt;=12,(IF(D2&gt;20,8,D2-12)*2+100)%*B11*16%,(100-(12-D2)*2)*B11%*16%)</f>
        <v>63296</v>
      </c>
      <c r="J2" s="35">
        <f>IF(D2&gt;=12,(IF(D2&gt;30,18,D2-12)*3+100)%*B10*16%,(100-(12-D2)*3)*B10%*16%)</f>
        <v>76032</v>
      </c>
      <c r="K2" s="36">
        <f t="shared" ref="K2:K8" si="0">E2/H2</f>
        <v>2.1661138268156424</v>
      </c>
      <c r="L2" s="36">
        <f t="shared" ref="L2:L8" si="1">G2/J2</f>
        <v>2.1540856481481483</v>
      </c>
      <c r="M2" s="36">
        <f>F2/I2</f>
        <v>1.6230813953488372</v>
      </c>
      <c r="N2" s="37">
        <f t="shared" ref="N2:P8" si="2">K2*(100+$B$12)%</f>
        <v>3.0325593575418992</v>
      </c>
      <c r="O2" s="38">
        <f t="shared" si="2"/>
        <v>3.0157199074074073</v>
      </c>
      <c r="P2" s="38">
        <f t="shared" si="2"/>
        <v>2.2723139534883718</v>
      </c>
    </row>
    <row r="3" spans="1:16" ht="33.75" customHeight="1" thickTop="1" thickBot="1">
      <c r="A3" s="39"/>
      <c r="B3" s="40"/>
      <c r="C3" s="8" t="s">
        <v>27</v>
      </c>
      <c r="D3" s="34">
        <v>10</v>
      </c>
      <c r="E3" s="35">
        <f>E4*0.96</f>
        <v>119112</v>
      </c>
      <c r="F3" s="35">
        <f>F4*0.96</f>
        <v>107201.28</v>
      </c>
      <c r="G3" s="35">
        <f>G4*0.94</f>
        <v>174946.22</v>
      </c>
      <c r="H3" s="35">
        <f>IF(D3&gt;=12,(IF(D3&gt;20,8,D3-12)*2+100)%*B9*16%,(100-(12-D3)*2)*B9%*16%)</f>
        <v>54988.800000000003</v>
      </c>
      <c r="I3" s="35">
        <f>IF(D3&gt;=12,(IF(D3&gt;20,8,D3-12)*2+100)%*B11*16%,(100-(12-D3)*2)*B11%*16%)</f>
        <v>66048</v>
      </c>
      <c r="J3" s="35">
        <f>IF(D3&gt;=12,(IF(D3&gt;30,18,D3-12)*3+100)%*B10*16%,(100-(12-D3)*3)*B10%*16%)</f>
        <v>81216</v>
      </c>
      <c r="K3" s="36">
        <f t="shared" si="0"/>
        <v>2.1661138268156424</v>
      </c>
      <c r="L3" s="36">
        <f t="shared" si="1"/>
        <v>2.1540856481481483</v>
      </c>
      <c r="M3" s="36">
        <f t="shared" ref="M3:M8" si="3">F3/I3</f>
        <v>1.6230813953488372</v>
      </c>
      <c r="N3" s="37">
        <f t="shared" si="2"/>
        <v>3.0325593575418992</v>
      </c>
      <c r="O3" s="38">
        <f t="shared" si="2"/>
        <v>3.0157199074074073</v>
      </c>
      <c r="P3" s="38">
        <f t="shared" si="2"/>
        <v>2.2723139534883718</v>
      </c>
    </row>
    <row r="4" spans="1:16" ht="40.5" thickTop="1" thickBot="1">
      <c r="A4" s="39"/>
      <c r="B4" s="40"/>
      <c r="C4" s="8" t="s">
        <v>26</v>
      </c>
      <c r="D4" s="34">
        <v>12</v>
      </c>
      <c r="E4" s="35">
        <v>124075</v>
      </c>
      <c r="F4" s="35">
        <v>111668</v>
      </c>
      <c r="G4" s="35">
        <v>186113</v>
      </c>
      <c r="H4" s="35">
        <f>IF(D4&gt;=12,(IF(D4&gt;20,8,D4-12)*2+100)%*B9*16%,(100-(12-D4)*2)*B9%*16%)</f>
        <v>57280</v>
      </c>
      <c r="I4" s="35">
        <f>IF(D4&gt;=12,(IF(D4&gt;20,8,D4-12)*2+100)%*B11*16%,(100-(12-D4)*2)*B11%*16%)</f>
        <v>68800</v>
      </c>
      <c r="J4" s="35">
        <f>IF(D4&gt;=12,(IF(D4&gt;30,18,D4-12)*3+100)%*B10*16%,(100-(12-D4)*3)*B10%*16%)</f>
        <v>86400</v>
      </c>
      <c r="K4" s="36">
        <f t="shared" si="0"/>
        <v>2.1661138268156424</v>
      </c>
      <c r="L4" s="36">
        <f t="shared" si="1"/>
        <v>2.1540856481481483</v>
      </c>
      <c r="M4" s="36">
        <f t="shared" si="3"/>
        <v>1.6230813953488372</v>
      </c>
      <c r="N4" s="37">
        <f t="shared" si="2"/>
        <v>3.0325593575418992</v>
      </c>
      <c r="O4" s="38">
        <f t="shared" si="2"/>
        <v>3.0157199074074073</v>
      </c>
      <c r="P4" s="38">
        <f t="shared" si="2"/>
        <v>2.2723139534883718</v>
      </c>
    </row>
    <row r="5" spans="1:16" ht="60" thickTop="1" thickBot="1">
      <c r="A5" s="39"/>
      <c r="B5" s="40"/>
      <c r="C5" s="8" t="s">
        <v>67</v>
      </c>
      <c r="D5" s="34">
        <v>14</v>
      </c>
      <c r="E5" s="35">
        <f>E4*1.04</f>
        <v>129038</v>
      </c>
      <c r="F5" s="35">
        <f>F4*1.04</f>
        <v>116134.72</v>
      </c>
      <c r="G5" s="35">
        <f>G4*1.06</f>
        <v>197279.78</v>
      </c>
      <c r="H5" s="35">
        <f>IF(D5&gt;=12,(IF(D5&gt;20,8,D5-12)*2+100)%*B9*16%,(100-(12-D5)*2)*B9%*16%)</f>
        <v>59571.200000000004</v>
      </c>
      <c r="I5" s="35">
        <f>IF(D5&gt;=12,(IF(D5&gt;20,8,D5-12)*2+100)%*B11*16%,(100-(12-D5)*2)*B11%*16%)</f>
        <v>71552</v>
      </c>
      <c r="J5" s="35">
        <f>IF(D5&gt;=12,(IF(D5&gt;30,18,D5-12)*3+100)%*B10*16%,(100-(12-D5)*3)*B10%*16%)</f>
        <v>91584</v>
      </c>
      <c r="K5" s="36">
        <f t="shared" si="0"/>
        <v>2.1661138268156424</v>
      </c>
      <c r="L5" s="36">
        <f t="shared" si="1"/>
        <v>2.1540856481481483</v>
      </c>
      <c r="M5" s="36">
        <f t="shared" si="3"/>
        <v>1.6230813953488372</v>
      </c>
      <c r="N5" s="37">
        <f t="shared" si="2"/>
        <v>3.0325593575418992</v>
      </c>
      <c r="O5" s="38">
        <f t="shared" si="2"/>
        <v>3.0157199074074073</v>
      </c>
      <c r="P5" s="38">
        <f t="shared" si="2"/>
        <v>2.2723139534883718</v>
      </c>
    </row>
    <row r="6" spans="1:16" ht="27" customHeight="1" thickTop="1" thickBot="1">
      <c r="A6" s="39"/>
      <c r="B6" s="40"/>
      <c r="C6" s="8"/>
      <c r="D6" s="34">
        <v>16</v>
      </c>
      <c r="E6" s="35">
        <f>E4*1.08</f>
        <v>134001</v>
      </c>
      <c r="F6" s="35">
        <f>F4*1.08</f>
        <v>120601.44</v>
      </c>
      <c r="G6" s="35">
        <f>G4*1.12</f>
        <v>208446.56000000003</v>
      </c>
      <c r="H6" s="35">
        <f>IF(D6&gt;=12,(IF(D6&gt;20,8,D6-12)*2+100)%*B9*16%,(100-(12-D6)*2)*B9%*16%)</f>
        <v>61862.400000000001</v>
      </c>
      <c r="I6" s="35">
        <f>IF(D6&gt;=12,(IF(D6&gt;20,8,D6-12)*2+100)%*B11*16%,(100-(12-D6)*2)*B11%*16%)</f>
        <v>74304.000000000015</v>
      </c>
      <c r="J6" s="35">
        <f>IF(D6&gt;=12,(IF(D6&gt;30,18,D6-12)*3+100)%*B10*16%,(100-(12-D6)*3)*B10%*16%)</f>
        <v>96768</v>
      </c>
      <c r="K6" s="36">
        <f t="shared" si="0"/>
        <v>2.1661138268156424</v>
      </c>
      <c r="L6" s="36">
        <f t="shared" si="1"/>
        <v>2.1540856481481483</v>
      </c>
      <c r="M6" s="36">
        <f t="shared" si="3"/>
        <v>1.623081395348837</v>
      </c>
      <c r="N6" s="37">
        <f t="shared" si="2"/>
        <v>3.0325593575418992</v>
      </c>
      <c r="O6" s="38">
        <f t="shared" si="2"/>
        <v>3.0157199074074073</v>
      </c>
      <c r="P6" s="38">
        <f t="shared" si="2"/>
        <v>2.2723139534883718</v>
      </c>
    </row>
    <row r="7" spans="1:16" ht="27" customHeight="1" thickTop="1" thickBot="1">
      <c r="A7" s="39"/>
      <c r="B7" s="40"/>
      <c r="C7" s="8"/>
      <c r="D7" s="34">
        <v>18</v>
      </c>
      <c r="E7" s="35">
        <f>E4*1.12</f>
        <v>138964</v>
      </c>
      <c r="F7" s="35">
        <f>F4*1.12</f>
        <v>125068.16000000002</v>
      </c>
      <c r="G7" s="35">
        <f>G4*1.18</f>
        <v>219613.34</v>
      </c>
      <c r="H7" s="35">
        <f>IF(D7&gt;=12,(IF(D7&gt;20,8,D7-12)*2+100)%*B9*16%,(100-(12-D7)*2)*B9%*16%)</f>
        <v>64153.600000000013</v>
      </c>
      <c r="I7" s="35">
        <f>IF(D7&gt;=12,(IF(D7&gt;20,8,D7-12)*2+100)%*B11*16%,(100-(12-D7)*2)*B11%*16%)</f>
        <v>77056.000000000015</v>
      </c>
      <c r="J7" s="35">
        <f>IF(D7&gt;=12,(IF(D7&gt;30,18,D7-12)*3+100)%*B10*16%,(100-(12-D7)*3)*B10%*16%)</f>
        <v>101952</v>
      </c>
      <c r="K7" s="36">
        <f t="shared" si="0"/>
        <v>2.1661138268156419</v>
      </c>
      <c r="L7" s="36">
        <f t="shared" si="1"/>
        <v>2.1540856481481483</v>
      </c>
      <c r="M7" s="36">
        <f t="shared" si="3"/>
        <v>1.6230813953488372</v>
      </c>
      <c r="N7" s="37">
        <f t="shared" si="2"/>
        <v>3.0325593575418983</v>
      </c>
      <c r="O7" s="38">
        <f t="shared" si="2"/>
        <v>3.0157199074074073</v>
      </c>
      <c r="P7" s="38">
        <f t="shared" si="2"/>
        <v>2.2723139534883718</v>
      </c>
    </row>
    <row r="8" spans="1:16" ht="27" customHeight="1" thickTop="1" thickBot="1">
      <c r="A8" s="39"/>
      <c r="B8" s="40"/>
      <c r="C8" s="8" t="s">
        <v>63</v>
      </c>
      <c r="D8" s="34">
        <v>30</v>
      </c>
      <c r="E8" s="35">
        <f>E4*1.16</f>
        <v>143927</v>
      </c>
      <c r="F8" s="35">
        <f>F4*1.16</f>
        <v>129534.87999999999</v>
      </c>
      <c r="G8" s="35">
        <f>G4*1.54</f>
        <v>286614.02</v>
      </c>
      <c r="H8" s="35">
        <f>IF(D8&gt;=12,(IF(D8&gt;20,8,D8-12)*2+100)%*B9*16%,(100-(12-D8)*2)*B9%*16%)</f>
        <v>66444.800000000003</v>
      </c>
      <c r="I8" s="35">
        <f>IF(D8&gt;=12,(IF(D8&gt;20,8,D8-12)*2+100)%*B11*16%,(100-(12-D8)*2)*B11%*16%)</f>
        <v>79807.999999999985</v>
      </c>
      <c r="J8" s="35">
        <f>IF(D8&gt;=12,(IF(D8&gt;30,18,D8-12)*3+100)%*B10*16%,(100-(12-D8)*3)*B10%*16%)</f>
        <v>133056</v>
      </c>
      <c r="K8" s="36">
        <f t="shared" si="0"/>
        <v>2.1661138268156424</v>
      </c>
      <c r="L8" s="36">
        <f t="shared" si="1"/>
        <v>2.1540856481481483</v>
      </c>
      <c r="M8" s="36">
        <f t="shared" si="3"/>
        <v>1.6230813953488374</v>
      </c>
      <c r="N8" s="37">
        <f t="shared" si="2"/>
        <v>3.0325593575418992</v>
      </c>
      <c r="O8" s="38">
        <f t="shared" si="2"/>
        <v>3.0157199074074073</v>
      </c>
      <c r="P8" s="38">
        <f t="shared" si="2"/>
        <v>2.2723139534883723</v>
      </c>
    </row>
    <row r="9" spans="1:16" ht="39.75" customHeight="1" thickTop="1">
      <c r="A9" s="41" t="s">
        <v>8</v>
      </c>
      <c r="B9" s="42">
        <v>358000</v>
      </c>
      <c r="C9" s="15"/>
      <c r="D9" s="43"/>
      <c r="E9" s="56" t="s">
        <v>20</v>
      </c>
      <c r="F9" s="56"/>
      <c r="G9" s="56" t="s">
        <v>23</v>
      </c>
      <c r="H9" s="56"/>
      <c r="I9" s="44"/>
      <c r="J9" s="44"/>
    </row>
    <row r="10" spans="1:16" ht="39.75" customHeight="1">
      <c r="A10" s="41" t="s">
        <v>9</v>
      </c>
      <c r="B10" s="42">
        <v>540000</v>
      </c>
      <c r="C10" s="16"/>
      <c r="D10" s="45"/>
      <c r="E10" s="57" t="s">
        <v>21</v>
      </c>
      <c r="F10" s="57"/>
      <c r="G10" s="57" t="s">
        <v>22</v>
      </c>
      <c r="H10" s="57"/>
      <c r="I10" s="46"/>
      <c r="J10" s="46"/>
      <c r="K10" s="29">
        <v>10</v>
      </c>
    </row>
    <row r="11" spans="1:16" ht="16.5" customHeight="1">
      <c r="A11" s="41" t="s">
        <v>10</v>
      </c>
      <c r="B11" s="47">
        <v>430000</v>
      </c>
      <c r="C11" s="16"/>
      <c r="D11" s="45"/>
      <c r="E11" s="46"/>
      <c r="F11" s="46"/>
      <c r="G11" s="46"/>
      <c r="H11" s="46"/>
      <c r="I11" s="46"/>
      <c r="J11" s="46"/>
    </row>
    <row r="12" spans="1:16" ht="22.5" customHeight="1">
      <c r="A12" s="48" t="s">
        <v>16</v>
      </c>
      <c r="B12" s="48">
        <v>40</v>
      </c>
      <c r="C12" s="12"/>
      <c r="D12" s="45"/>
      <c r="E12" s="46"/>
      <c r="F12" s="46"/>
      <c r="G12" s="46"/>
      <c r="H12" s="46"/>
      <c r="I12" s="46"/>
      <c r="J12" s="46"/>
    </row>
    <row r="13" spans="1:16">
      <c r="C13" s="12"/>
      <c r="D13" s="45"/>
      <c r="E13" s="46"/>
      <c r="F13" s="46"/>
      <c r="G13" s="46"/>
      <c r="H13" s="46"/>
      <c r="I13" s="46"/>
      <c r="J13" s="46"/>
    </row>
    <row r="14" spans="1:16">
      <c r="C14" s="12"/>
      <c r="D14" s="45"/>
      <c r="E14" s="46"/>
      <c r="F14" s="46"/>
      <c r="G14" s="46"/>
      <c r="H14" s="46"/>
      <c r="I14" s="46"/>
      <c r="J14" s="46"/>
    </row>
    <row r="15" spans="1:16">
      <c r="C15" s="12"/>
      <c r="D15" s="45"/>
      <c r="E15" s="46"/>
      <c r="F15" s="46"/>
      <c r="G15" s="46"/>
      <c r="H15" s="46"/>
      <c r="I15" s="46"/>
      <c r="J15" s="46"/>
    </row>
    <row r="16" spans="1:16">
      <c r="C16" s="12"/>
      <c r="D16" s="45"/>
      <c r="E16" s="46"/>
      <c r="F16" s="46"/>
      <c r="G16" s="46"/>
      <c r="H16" s="46"/>
      <c r="I16" s="46"/>
      <c r="J16" s="46"/>
    </row>
    <row r="17" spans="3:10">
      <c r="C17" s="12"/>
      <c r="D17" s="45"/>
      <c r="E17" s="46"/>
      <c r="F17" s="46"/>
      <c r="G17" s="46"/>
      <c r="H17" s="46"/>
      <c r="I17" s="46"/>
      <c r="J17" s="46"/>
    </row>
    <row r="18" spans="3:10">
      <c r="C18" s="12"/>
      <c r="D18" s="45"/>
      <c r="E18" s="46"/>
      <c r="F18" s="46"/>
      <c r="G18" s="46"/>
      <c r="H18" s="46"/>
      <c r="I18" s="46"/>
      <c r="J18" s="46"/>
    </row>
    <row r="19" spans="3:10">
      <c r="C19" s="12"/>
      <c r="D19" s="45"/>
      <c r="E19" s="46"/>
      <c r="F19" s="46"/>
      <c r="G19" s="46"/>
      <c r="H19" s="46"/>
      <c r="I19" s="46"/>
      <c r="J19" s="46"/>
    </row>
  </sheetData>
  <mergeCells count="4">
    <mergeCell ref="G9:H9"/>
    <mergeCell ref="G10:H10"/>
    <mergeCell ref="E9:F9"/>
    <mergeCell ref="E10:F10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"/>
  <sheetViews>
    <sheetView rightToLeft="1" zoomScaleNormal="100" workbookViewId="0">
      <selection activeCell="J11" sqref="J11"/>
    </sheetView>
  </sheetViews>
  <sheetFormatPr defaultRowHeight="15"/>
  <cols>
    <col min="2" max="2" width="13.7109375" customWidth="1"/>
    <col min="5" max="5" width="9.140625" customWidth="1"/>
    <col min="7" max="7" width="9.85546875" customWidth="1"/>
    <col min="8" max="8" width="8" customWidth="1"/>
    <col min="9" max="10" width="7.140625" customWidth="1"/>
    <col min="11" max="11" width="6.7109375" customWidth="1"/>
    <col min="12" max="12" width="7.42578125" customWidth="1"/>
    <col min="13" max="13" width="6.28515625" customWidth="1"/>
    <col min="14" max="14" width="8.140625" customWidth="1"/>
    <col min="15" max="15" width="5.28515625" customWidth="1"/>
    <col min="16" max="16" width="5.85546875" customWidth="1"/>
  </cols>
  <sheetData>
    <row r="1" spans="1:16" s="29" customFormat="1" ht="109.5" thickTop="1" thickBot="1">
      <c r="A1" s="30" t="s">
        <v>18</v>
      </c>
      <c r="B1" s="31"/>
      <c r="C1" s="1" t="s">
        <v>0</v>
      </c>
      <c r="D1" s="28" t="s">
        <v>1</v>
      </c>
      <c r="E1" s="2" t="s">
        <v>6</v>
      </c>
      <c r="F1" s="2" t="s">
        <v>7</v>
      </c>
      <c r="G1" s="2" t="s">
        <v>13</v>
      </c>
      <c r="H1" s="2" t="s">
        <v>2</v>
      </c>
      <c r="I1" s="2" t="s">
        <v>11</v>
      </c>
      <c r="J1" s="2" t="s">
        <v>3</v>
      </c>
      <c r="K1" s="3" t="s">
        <v>4</v>
      </c>
      <c r="L1" s="3" t="s">
        <v>5</v>
      </c>
      <c r="M1" s="3" t="s">
        <v>12</v>
      </c>
      <c r="N1" s="18" t="s">
        <v>14</v>
      </c>
      <c r="O1" s="19" t="s">
        <v>15</v>
      </c>
      <c r="P1" s="19" t="s">
        <v>17</v>
      </c>
    </row>
    <row r="2" spans="1:16" ht="40.5" thickTop="1" thickBot="1">
      <c r="A2" s="23" t="s">
        <v>32</v>
      </c>
      <c r="B2" s="24"/>
      <c r="C2" s="8" t="s">
        <v>68</v>
      </c>
      <c r="D2" s="9">
        <v>6</v>
      </c>
      <c r="E2" s="4">
        <f>E5*0.88</f>
        <v>107835.2</v>
      </c>
      <c r="F2" s="4">
        <f>F5*0.88</f>
        <v>97051.680000000008</v>
      </c>
      <c r="G2" s="4">
        <f>G5*0.82</f>
        <v>150724.19999999998</v>
      </c>
      <c r="H2" s="4">
        <f>IF(D2&gt;=12,(IF(D2&gt;20,8,D2-12)*2+100)%*B9*16%,(100-(12-D2)*2)*B9%*16%)</f>
        <v>46041.599999999999</v>
      </c>
      <c r="I2" s="4">
        <f>IF(D2&gt;=12,(IF(D2&gt;20,8,D2-12)*2+100)%*B11*16%,(100-(12-D2)*2)*B11%*16%)</f>
        <v>55616</v>
      </c>
      <c r="J2" s="4">
        <f>IF(D2&gt;=12,(IF(D2&gt;30,18,D2-12)*3+100)%*B10*16%,(100-(12-D2)*3)*B10%*16%)</f>
        <v>64944</v>
      </c>
      <c r="K2" s="20">
        <f t="shared" ref="K2:K8" si="0">E2/H2</f>
        <v>2.342125382262997</v>
      </c>
      <c r="L2" s="20">
        <f t="shared" ref="L2:L8" si="1">G2/J2</f>
        <v>2.3208333333333329</v>
      </c>
      <c r="M2" s="20">
        <f>F2/I2</f>
        <v>1.7450316455696204</v>
      </c>
      <c r="N2" s="21">
        <f t="shared" ref="N2:P8" si="2">K2*(100+$B$12)%</f>
        <v>3.2789755351681955</v>
      </c>
      <c r="O2" s="22">
        <f t="shared" si="2"/>
        <v>3.2491666666666656</v>
      </c>
      <c r="P2" s="22">
        <f t="shared" si="2"/>
        <v>2.4430443037974685</v>
      </c>
    </row>
    <row r="3" spans="1:16" ht="21" thickTop="1" thickBot="1">
      <c r="A3" s="25"/>
      <c r="B3" s="26"/>
      <c r="C3" s="8"/>
      <c r="D3" s="9">
        <v>8</v>
      </c>
      <c r="E3" s="4">
        <f>E5*0.92</f>
        <v>112736.8</v>
      </c>
      <c r="F3" s="4">
        <f>F5*0.92</f>
        <v>101463.12000000001</v>
      </c>
      <c r="G3" s="4">
        <f>G5*0.88</f>
        <v>161752.79999999999</v>
      </c>
      <c r="H3" s="4">
        <f>IF(D3&gt;=12,(IF(D3&gt;20,8,D3-12)*2+100)%*B9*16%,(100-(12-D3)*2)*B9%*16%)</f>
        <v>48134.400000000001</v>
      </c>
      <c r="I3" s="4">
        <f>IF(D3&gt;=12,(IF(D3&gt;20,8,D3-12)*2+100)%*B11*16%,(100-(12-D3)*2)*B11%*16%)</f>
        <v>58144</v>
      </c>
      <c r="J3" s="4">
        <f>IF(D3&gt;=12,(IF(D3&gt;30,18,D3-12)*3+100)%*B10*16%,(100-(12-D3)*3)*B10%*16%)</f>
        <v>69696</v>
      </c>
      <c r="K3" s="20">
        <f t="shared" si="0"/>
        <v>2.342125382262997</v>
      </c>
      <c r="L3" s="20">
        <f t="shared" si="1"/>
        <v>2.3208333333333333</v>
      </c>
      <c r="M3" s="20">
        <f t="shared" ref="M3:M8" si="3">F3/I3</f>
        <v>1.7450316455696204</v>
      </c>
      <c r="N3" s="21">
        <f t="shared" si="2"/>
        <v>3.2789755351681955</v>
      </c>
      <c r="O3" s="22">
        <f t="shared" si="2"/>
        <v>3.2491666666666665</v>
      </c>
      <c r="P3" s="22">
        <f t="shared" si="2"/>
        <v>2.4430443037974685</v>
      </c>
    </row>
    <row r="4" spans="1:16" ht="21" thickTop="1" thickBot="1">
      <c r="A4" s="25"/>
      <c r="B4" s="26"/>
      <c r="C4" s="8"/>
      <c r="D4" s="9">
        <v>10</v>
      </c>
      <c r="E4" s="4">
        <f>E5*0.96</f>
        <v>117638.39999999999</v>
      </c>
      <c r="F4" s="4">
        <f>F5*0.96</f>
        <v>105874.56</v>
      </c>
      <c r="G4" s="4">
        <f>G5*0.94</f>
        <v>172781.4</v>
      </c>
      <c r="H4" s="4">
        <f>IF(D4&gt;=12,(IF(D4&gt;20,8,D4-12)*2+100)%*B9*16%,(100-(12-D4)*2)*B9%*16%)</f>
        <v>50227.200000000004</v>
      </c>
      <c r="I4" s="4">
        <f>IF(D4&gt;=12,(IF(D4&gt;20,8,D4-12)*2+100)%*B11*16%,(100-(12-D4)*2)*B11%*16%)</f>
        <v>60672</v>
      </c>
      <c r="J4" s="4">
        <f>IF(D4&gt;=12,(IF(D4&gt;30,18,D4-12)*3+100)%*B10*16%,(100-(12-D4)*3)*B10%*16%)</f>
        <v>74448</v>
      </c>
      <c r="K4" s="20">
        <f t="shared" si="0"/>
        <v>2.3421253822629966</v>
      </c>
      <c r="L4" s="20">
        <f t="shared" si="1"/>
        <v>2.3208333333333333</v>
      </c>
      <c r="M4" s="20">
        <f t="shared" si="3"/>
        <v>1.7450316455696202</v>
      </c>
      <c r="N4" s="21">
        <f t="shared" si="2"/>
        <v>3.2789755351681951</v>
      </c>
      <c r="O4" s="22">
        <f t="shared" si="2"/>
        <v>3.2491666666666665</v>
      </c>
      <c r="P4" s="22">
        <f t="shared" si="2"/>
        <v>2.4430443037974681</v>
      </c>
    </row>
    <row r="5" spans="1:16" ht="40.5" thickTop="1" thickBot="1">
      <c r="A5" s="25"/>
      <c r="B5" s="26"/>
      <c r="C5" s="8" t="s">
        <v>28</v>
      </c>
      <c r="D5" s="9">
        <v>12</v>
      </c>
      <c r="E5" s="4">
        <v>122540</v>
      </c>
      <c r="F5" s="4">
        <v>110286</v>
      </c>
      <c r="G5" s="4">
        <v>183810</v>
      </c>
      <c r="H5" s="4">
        <f>IF(D5&gt;=12,(IF(D5&gt;20,8,D5-12)*2+100)%*B9*16%,(100-(12-D5)*2)*B9%*16%)</f>
        <v>52320</v>
      </c>
      <c r="I5" s="4">
        <f>IF(D5&gt;=12,(IF(D5&gt;20,8,D5-12)*2+100)%*B11*16%,(100-(12-D5)*2)*B11%*16%)</f>
        <v>63200</v>
      </c>
      <c r="J5" s="4">
        <f>IF(D5&gt;=12,(IF(D5&gt;30,18,D5-12)*3+100)%*B10*16%,(100-(12-D5)*3)*B10%*16%)</f>
        <v>79200</v>
      </c>
      <c r="K5" s="20">
        <f t="shared" si="0"/>
        <v>2.342125382262997</v>
      </c>
      <c r="L5" s="20">
        <f t="shared" si="1"/>
        <v>2.3208333333333333</v>
      </c>
      <c r="M5" s="20">
        <f t="shared" si="3"/>
        <v>1.7450316455696202</v>
      </c>
      <c r="N5" s="21">
        <f t="shared" si="2"/>
        <v>3.2789755351681955</v>
      </c>
      <c r="O5" s="22">
        <f t="shared" si="2"/>
        <v>3.2491666666666665</v>
      </c>
      <c r="P5" s="22">
        <f t="shared" si="2"/>
        <v>2.4430443037974681</v>
      </c>
    </row>
    <row r="6" spans="1:16" ht="21" thickTop="1" thickBot="1">
      <c r="A6" s="25"/>
      <c r="B6" s="26"/>
      <c r="C6" s="8" t="s">
        <v>31</v>
      </c>
      <c r="D6" s="9">
        <v>18</v>
      </c>
      <c r="E6" s="4">
        <f>E5*1.12</f>
        <v>137244.80000000002</v>
      </c>
      <c r="F6" s="4">
        <f>F5*1.12</f>
        <v>123520.32000000001</v>
      </c>
      <c r="G6" s="4">
        <f>G5*1.18</f>
        <v>216895.8</v>
      </c>
      <c r="H6" s="4">
        <f>IF(D6&gt;=12,(IF(D6&gt;20,8,D6-12)*2+100)%*B9*16%,(100-(12-D6)*2)*B9%*16%)</f>
        <v>58598.400000000009</v>
      </c>
      <c r="I6" s="4">
        <f>IF(D6&gt;=12,(IF(D6&gt;20,8,D6-12)*2+100)%*B11*16%,(100-(12-D6)*2)*B11%*16%)</f>
        <v>70784.000000000015</v>
      </c>
      <c r="J6" s="4">
        <f>IF(D6&gt;=12,(IF(D6&gt;30,18,D6-12)*3+100)%*B10*16%,(100-(12-D6)*3)*B10%*16%)</f>
        <v>93456</v>
      </c>
      <c r="K6" s="20">
        <f t="shared" si="0"/>
        <v>2.342125382262997</v>
      </c>
      <c r="L6" s="20">
        <f t="shared" si="1"/>
        <v>2.3208333333333333</v>
      </c>
      <c r="M6" s="20">
        <f t="shared" si="3"/>
        <v>1.74503164556962</v>
      </c>
      <c r="N6" s="21">
        <f t="shared" si="2"/>
        <v>3.2789755351681955</v>
      </c>
      <c r="O6" s="22">
        <f t="shared" si="2"/>
        <v>3.2491666666666665</v>
      </c>
      <c r="P6" s="22">
        <f t="shared" si="2"/>
        <v>2.4430443037974676</v>
      </c>
    </row>
    <row r="7" spans="1:16" ht="21" thickTop="1" thickBot="1">
      <c r="A7" s="25"/>
      <c r="B7" s="26"/>
      <c r="C7" s="8" t="s">
        <v>30</v>
      </c>
      <c r="D7" s="9">
        <v>20</v>
      </c>
      <c r="E7" s="4">
        <f>E5*1.16</f>
        <v>142146.4</v>
      </c>
      <c r="F7" s="4">
        <f>F5*1.16</f>
        <v>127931.76</v>
      </c>
      <c r="G7" s="4">
        <f>G5*1.24</f>
        <v>227924.4</v>
      </c>
      <c r="H7" s="4">
        <f>IF(D7&gt;=12,(IF(D7&gt;20,8,D7-12)*2+100)%*B9*16%,(100-(12-D7)*2)*B9%*16%)</f>
        <v>60691.200000000004</v>
      </c>
      <c r="I7" s="4">
        <f>IF(D7&gt;=12,(IF(D7&gt;20,8,D7-12)*2+100)%*B11*16%,(100-(12-D7)*2)*B11%*16%)</f>
        <v>73311.999999999985</v>
      </c>
      <c r="J7" s="4">
        <f>IF(D7&gt;=12,(IF(D7&gt;30,18,D7-12)*3+100)%*B10*16%,(100-(12-D7)*3)*B10%*16%)</f>
        <v>98208</v>
      </c>
      <c r="K7" s="20">
        <f t="shared" si="0"/>
        <v>2.3421253822629966</v>
      </c>
      <c r="L7" s="20">
        <f t="shared" si="1"/>
        <v>2.3208333333333333</v>
      </c>
      <c r="M7" s="20">
        <f t="shared" si="3"/>
        <v>1.7450316455696204</v>
      </c>
      <c r="N7" s="21">
        <f t="shared" si="2"/>
        <v>3.2789755351681951</v>
      </c>
      <c r="O7" s="22">
        <f t="shared" si="2"/>
        <v>3.2491666666666665</v>
      </c>
      <c r="P7" s="22">
        <f t="shared" si="2"/>
        <v>2.4430443037974685</v>
      </c>
    </row>
    <row r="8" spans="1:16" ht="40.5" thickTop="1" thickBot="1">
      <c r="A8" s="25"/>
      <c r="B8" s="26"/>
      <c r="C8" s="8" t="s">
        <v>29</v>
      </c>
      <c r="D8" s="9">
        <v>24</v>
      </c>
      <c r="E8" s="4">
        <v>142146</v>
      </c>
      <c r="F8" s="4">
        <v>127932</v>
      </c>
      <c r="G8" s="4">
        <f>G5*1.36</f>
        <v>249981.6</v>
      </c>
      <c r="H8" s="4">
        <f>IF(D8&gt;=12,(IF(D8&gt;20,8,D8-12)*2+100)%*B9*16%,(100-(12-D8)*2)*B9%*16%)</f>
        <v>60691.200000000004</v>
      </c>
      <c r="I8" s="4">
        <f>IF(D8&gt;=12,(IF(D8&gt;20,8,D8-12)*2+100)%*B11*16%,(100-(12-D8)*2)*B11%*16%)</f>
        <v>73311.999999999985</v>
      </c>
      <c r="J8" s="4">
        <f>IF(D8&gt;=12,(IF(D8&gt;30,18,D8-12)*3+100)%*B10*16%,(100-(12-D8)*3)*B10%*16%)</f>
        <v>107712</v>
      </c>
      <c r="K8" s="20">
        <f t="shared" si="0"/>
        <v>2.3421187915216701</v>
      </c>
      <c r="L8" s="20">
        <f t="shared" si="1"/>
        <v>2.3208333333333333</v>
      </c>
      <c r="M8" s="20">
        <f t="shared" si="3"/>
        <v>1.7450349192492365</v>
      </c>
      <c r="N8" s="21">
        <f t="shared" si="2"/>
        <v>3.2789663081303382</v>
      </c>
      <c r="O8" s="22">
        <f t="shared" si="2"/>
        <v>3.2491666666666665</v>
      </c>
      <c r="P8" s="22">
        <f t="shared" si="2"/>
        <v>2.4430488869489309</v>
      </c>
    </row>
    <row r="9" spans="1:16" ht="20.25" thickTop="1">
      <c r="A9" s="6" t="s">
        <v>8</v>
      </c>
      <c r="B9" s="5">
        <v>327000</v>
      </c>
      <c r="C9" s="15"/>
      <c r="D9" s="10"/>
      <c r="E9" s="11" t="s">
        <v>20</v>
      </c>
      <c r="F9" s="11"/>
      <c r="G9" s="11" t="s">
        <v>23</v>
      </c>
      <c r="H9" s="11"/>
      <c r="I9" s="11"/>
      <c r="J9" s="11"/>
    </row>
    <row r="10" spans="1:16" ht="19.5">
      <c r="A10" s="6" t="s">
        <v>9</v>
      </c>
      <c r="B10" s="5">
        <v>495000</v>
      </c>
      <c r="C10" s="16"/>
      <c r="D10" s="13"/>
      <c r="E10" s="14" t="s">
        <v>21</v>
      </c>
      <c r="F10" s="14"/>
      <c r="G10" s="14" t="s">
        <v>22</v>
      </c>
      <c r="H10" s="14"/>
      <c r="I10" s="14"/>
      <c r="J10" s="14"/>
    </row>
    <row r="11" spans="1:16" ht="19.5">
      <c r="A11" s="6" t="s">
        <v>10</v>
      </c>
      <c r="B11" s="7">
        <v>395000</v>
      </c>
      <c r="C11" s="16"/>
      <c r="D11" s="13"/>
      <c r="E11" s="14"/>
      <c r="F11" s="14"/>
      <c r="G11" s="14"/>
      <c r="H11" s="14"/>
      <c r="I11" s="14"/>
      <c r="J11" s="14">
        <v>11</v>
      </c>
    </row>
    <row r="12" spans="1:16" ht="19.5">
      <c r="A12" s="17" t="s">
        <v>16</v>
      </c>
      <c r="B12" s="17">
        <v>40</v>
      </c>
      <c r="C12" s="12"/>
      <c r="D12" s="13"/>
      <c r="E12" s="14"/>
      <c r="F12" s="14"/>
      <c r="G12" s="14"/>
      <c r="H12" s="14"/>
      <c r="I12" s="14"/>
      <c r="J12" s="14"/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"/>
  <sheetViews>
    <sheetView rightToLeft="1" topLeftCell="A4" workbookViewId="0">
      <selection activeCell="J12" sqref="J12"/>
    </sheetView>
  </sheetViews>
  <sheetFormatPr defaultRowHeight="15"/>
  <cols>
    <col min="2" max="2" width="14" customWidth="1"/>
    <col min="4" max="4" width="6.42578125" customWidth="1"/>
    <col min="5" max="5" width="8.5703125" customWidth="1"/>
    <col min="6" max="6" width="8.42578125" customWidth="1"/>
    <col min="7" max="7" width="9.42578125" customWidth="1"/>
    <col min="8" max="8" width="7.7109375" customWidth="1"/>
    <col min="9" max="9" width="9.140625" customWidth="1"/>
    <col min="10" max="10" width="8.85546875" customWidth="1"/>
    <col min="11" max="11" width="7.140625" customWidth="1"/>
    <col min="12" max="13" width="6.42578125" customWidth="1"/>
    <col min="14" max="14" width="7.42578125" customWidth="1"/>
    <col min="15" max="15" width="7.5703125" customWidth="1"/>
    <col min="16" max="16" width="7.140625" customWidth="1"/>
  </cols>
  <sheetData>
    <row r="1" spans="1:16" s="29" customFormat="1" ht="91.5" customHeight="1" thickTop="1" thickBot="1">
      <c r="A1" s="30" t="s">
        <v>18</v>
      </c>
      <c r="B1" s="31"/>
      <c r="C1" s="1" t="s">
        <v>0</v>
      </c>
      <c r="D1" s="28" t="s">
        <v>1</v>
      </c>
      <c r="E1" s="2" t="s">
        <v>6</v>
      </c>
      <c r="F1" s="2" t="s">
        <v>7</v>
      </c>
      <c r="G1" s="2" t="s">
        <v>13</v>
      </c>
      <c r="H1" s="2" t="s">
        <v>2</v>
      </c>
      <c r="I1" s="2" t="s">
        <v>11</v>
      </c>
      <c r="J1" s="2" t="s">
        <v>3</v>
      </c>
      <c r="K1" s="3" t="s">
        <v>4</v>
      </c>
      <c r="L1" s="3" t="s">
        <v>5</v>
      </c>
      <c r="M1" s="3" t="s">
        <v>12</v>
      </c>
      <c r="N1" s="18" t="s">
        <v>14</v>
      </c>
      <c r="O1" s="19" t="s">
        <v>15</v>
      </c>
      <c r="P1" s="19" t="s">
        <v>17</v>
      </c>
    </row>
    <row r="2" spans="1:16" ht="40.5" thickTop="1" thickBot="1">
      <c r="A2" s="23">
        <v>4</v>
      </c>
      <c r="B2" s="24"/>
      <c r="C2" s="8" t="s">
        <v>34</v>
      </c>
      <c r="D2" s="9">
        <v>6</v>
      </c>
      <c r="E2" s="4">
        <f>E5*0.88</f>
        <v>174126.48</v>
      </c>
      <c r="F2" s="4">
        <f>F5*0.88</f>
        <v>156713.92000000001</v>
      </c>
      <c r="G2" s="4">
        <f>G5*0.82</f>
        <v>243381.74</v>
      </c>
      <c r="H2" s="4">
        <f>IF(D2&gt;=12,(IF(D2&gt;20,8,D2-12)*2+100)%*B10*16%,(100-(12-D2)*2)*B10%*16%)</f>
        <v>64486.400000000001</v>
      </c>
      <c r="I2" s="4">
        <f>IF(D2&gt;=12,(IF(D2&gt;20,8,D2-12)*2+100)%*B12*16%,(100-(12-D2)*2)*B12%*16%)</f>
        <v>77440</v>
      </c>
      <c r="J2" s="4">
        <f>IF(D2&gt;=12,(IF(D2&gt;30,18,D2-12)*3+100)%*B11*16%,(100-(12-D2)*3)*B11%*16%)</f>
        <v>90528</v>
      </c>
      <c r="K2" s="20">
        <f t="shared" ref="K2:K9" si="0">E2/H2</f>
        <v>2.7002046943231441</v>
      </c>
      <c r="L2" s="20">
        <f t="shared" ref="L2:L9" si="1">G2/J2</f>
        <v>2.6884692028985504</v>
      </c>
      <c r="M2" s="20">
        <f>F2/I2</f>
        <v>2.0236818181818181</v>
      </c>
      <c r="N2" s="21">
        <f t="shared" ref="N2:P9" si="2">K2*(100+$B$13)%</f>
        <v>3.7802865720524017</v>
      </c>
      <c r="O2" s="22">
        <f t="shared" si="2"/>
        <v>3.7638568840579705</v>
      </c>
      <c r="P2" s="22">
        <f t="shared" si="2"/>
        <v>2.833154545454545</v>
      </c>
    </row>
    <row r="3" spans="1:16" ht="40.5" thickTop="1" thickBot="1">
      <c r="A3" s="25"/>
      <c r="B3" s="26"/>
      <c r="C3" s="8" t="s">
        <v>34</v>
      </c>
      <c r="D3" s="9">
        <v>8</v>
      </c>
      <c r="E3" s="4">
        <f>E5*0.92</f>
        <v>182041.32</v>
      </c>
      <c r="F3" s="4">
        <f>F5*1.08</f>
        <v>192330.72</v>
      </c>
      <c r="G3" s="4">
        <f>G5*0.88</f>
        <v>261190.16</v>
      </c>
      <c r="H3" s="4">
        <f>IF(D3&gt;=12,(IF(D3&gt;20,8,D3-12)*2+100)%*B10*16%,(100-(12-D3)*2)*B10%*16%)</f>
        <v>67417.600000000006</v>
      </c>
      <c r="I3" s="4">
        <f>IF(D3&gt;=12,(IF(D3&gt;20,8,D3-12)*2+100)%*B12*16%,(100-(12-D3)*2)*B12%*16%)</f>
        <v>80960</v>
      </c>
      <c r="J3" s="4">
        <f>IF(D3&gt;=12,(IF(D3&gt;30,18,D3-12)*3+100)%*B11*16%,(100-(12-D3)*3)*B11%*16%)</f>
        <v>97152</v>
      </c>
      <c r="K3" s="20">
        <f t="shared" si="0"/>
        <v>2.7002046943231441</v>
      </c>
      <c r="L3" s="20">
        <f t="shared" si="1"/>
        <v>2.6884692028985508</v>
      </c>
      <c r="M3" s="20">
        <f t="shared" ref="M3:M9" si="3">F3/I3</f>
        <v>2.3756264822134385</v>
      </c>
      <c r="N3" s="21">
        <f t="shared" si="2"/>
        <v>3.7802865720524017</v>
      </c>
      <c r="O3" s="22">
        <f t="shared" si="2"/>
        <v>3.7638568840579709</v>
      </c>
      <c r="P3" s="22">
        <f t="shared" si="2"/>
        <v>3.3258770750988136</v>
      </c>
    </row>
    <row r="4" spans="1:16" ht="21" thickTop="1" thickBot="1">
      <c r="A4" s="25"/>
      <c r="B4" s="26"/>
      <c r="C4" s="8"/>
      <c r="D4" s="9">
        <v>10</v>
      </c>
      <c r="E4" s="4">
        <f>E5*0.96</f>
        <v>189956.16</v>
      </c>
      <c r="F4" s="4">
        <f>F5*0.96</f>
        <v>170960.63999999998</v>
      </c>
      <c r="G4" s="4">
        <f>G5*0.94</f>
        <v>278998.57999999996</v>
      </c>
      <c r="H4" s="4">
        <f>IF(D4&gt;=12,(IF(D4&gt;20,8,D4-12)*2+100)%*B10*16%,(100-(12-D4)*2)*B10%*16%)</f>
        <v>70348.800000000003</v>
      </c>
      <c r="I4" s="4">
        <f>IF(D4&gt;=12,(IF(D4&gt;20,8,D4-12)*2+100)%*B12*16%,(100-(12-D4)*2)*B12%*16%)</f>
        <v>84480</v>
      </c>
      <c r="J4" s="4">
        <f>IF(D4&gt;=12,(IF(D4&gt;30,18,D4-12)*3+100)%*B11*16%,(100-(12-D4)*3)*B11%*16%)</f>
        <v>103776</v>
      </c>
      <c r="K4" s="20">
        <f t="shared" si="0"/>
        <v>2.7002046943231441</v>
      </c>
      <c r="L4" s="20">
        <f t="shared" si="1"/>
        <v>2.6884692028985504</v>
      </c>
      <c r="M4" s="20">
        <f t="shared" si="3"/>
        <v>2.0236818181818181</v>
      </c>
      <c r="N4" s="21">
        <f t="shared" si="2"/>
        <v>3.7802865720524017</v>
      </c>
      <c r="O4" s="22">
        <f t="shared" si="2"/>
        <v>3.7638568840579705</v>
      </c>
      <c r="P4" s="22">
        <f t="shared" si="2"/>
        <v>2.833154545454545</v>
      </c>
    </row>
    <row r="5" spans="1:16" ht="40.5" thickTop="1" thickBot="1">
      <c r="A5" s="25"/>
      <c r="B5" s="26"/>
      <c r="C5" s="8" t="s">
        <v>68</v>
      </c>
      <c r="D5" s="9">
        <v>12</v>
      </c>
      <c r="E5" s="4">
        <v>197871</v>
      </c>
      <c r="F5" s="4">
        <v>178084</v>
      </c>
      <c r="G5" s="4">
        <v>296807</v>
      </c>
      <c r="H5" s="4">
        <f>IF(D5&gt;=12,(IF(D5&gt;20,8,D5-12)*2+100)%*B10*16%,(100-(12-D5)*2)*B10%*16%)</f>
        <v>73280</v>
      </c>
      <c r="I5" s="4">
        <f>IF(D5&gt;=12,(IF(D5&gt;20,8,D5-12)*2+100)%*B12*16%,(100-(12-D5)*2)*B12%*16%)</f>
        <v>88000</v>
      </c>
      <c r="J5" s="4">
        <f>IF(D5&gt;=12,(IF(D5&gt;30,18,D5-12)*3+100)%*B11*16%,(100-(12-D5)*3)*B11%*16%)</f>
        <v>110400</v>
      </c>
      <c r="K5" s="20">
        <f t="shared" si="0"/>
        <v>2.7002046943231441</v>
      </c>
      <c r="L5" s="20">
        <f t="shared" si="1"/>
        <v>2.6884692028985508</v>
      </c>
      <c r="M5" s="20">
        <f t="shared" si="3"/>
        <v>2.0236818181818181</v>
      </c>
      <c r="N5" s="21">
        <f t="shared" si="2"/>
        <v>3.7802865720524017</v>
      </c>
      <c r="O5" s="22">
        <f t="shared" si="2"/>
        <v>3.7638568840579709</v>
      </c>
      <c r="P5" s="22">
        <f t="shared" si="2"/>
        <v>2.833154545454545</v>
      </c>
    </row>
    <row r="6" spans="1:16" ht="21" thickTop="1" thickBot="1">
      <c r="A6" s="25"/>
      <c r="B6" s="26"/>
      <c r="C6" s="8" t="s">
        <v>33</v>
      </c>
      <c r="D6" s="9">
        <v>16</v>
      </c>
      <c r="E6" s="4">
        <f>E5*1.08</f>
        <v>213700.68000000002</v>
      </c>
      <c r="F6" s="4">
        <f>F5*1.08</f>
        <v>192330.72</v>
      </c>
      <c r="G6" s="4">
        <f>G5*1.12</f>
        <v>332423.84000000003</v>
      </c>
      <c r="H6" s="4">
        <f>IF(D6&gt;=12,(IF(D6&gt;20,8,D6-12)*2+100)%*B10*16%,(100-(12-D6)*2)*B10%*16%)</f>
        <v>79142.400000000009</v>
      </c>
      <c r="I6" s="4">
        <f>IF(D6&gt;=12,(IF(D6&gt;20,8,D6-12)*2+100)%*B12*16%,(100-(12-D6)*2)*B12%*16%)</f>
        <v>95040</v>
      </c>
      <c r="J6" s="4">
        <f>IF(D6&gt;=12,(IF(D6&gt;30,18,D6-12)*3+100)%*B11*16%,(100-(12-D6)*3)*B11%*16%)</f>
        <v>123648.00000000001</v>
      </c>
      <c r="K6" s="20">
        <f t="shared" si="0"/>
        <v>2.7002046943231441</v>
      </c>
      <c r="L6" s="20">
        <f t="shared" si="1"/>
        <v>2.6884692028985504</v>
      </c>
      <c r="M6" s="20">
        <f t="shared" si="3"/>
        <v>2.0236818181818181</v>
      </c>
      <c r="N6" s="21">
        <f t="shared" si="2"/>
        <v>3.7802865720524017</v>
      </c>
      <c r="O6" s="22">
        <f t="shared" si="2"/>
        <v>3.7638568840579705</v>
      </c>
      <c r="P6" s="22">
        <f t="shared" si="2"/>
        <v>2.833154545454545</v>
      </c>
    </row>
    <row r="7" spans="1:16" ht="60" thickTop="1" thickBot="1">
      <c r="A7" s="25"/>
      <c r="B7" s="26"/>
      <c r="C7" s="8" t="s">
        <v>69</v>
      </c>
      <c r="D7" s="9">
        <v>18</v>
      </c>
      <c r="E7" s="4">
        <f>E5*1.12</f>
        <v>221615.52000000002</v>
      </c>
      <c r="F7" s="4">
        <f>F5*1.12</f>
        <v>199454.08000000002</v>
      </c>
      <c r="G7" s="4">
        <f>G5*1.18</f>
        <v>350232.26</v>
      </c>
      <c r="H7" s="4">
        <f>IF(D7&gt;=12,(IF(D7&gt;20,8,D7-12)*2+100)%*B10*16%,(100-(12-D7)*2)*B10%*16%)</f>
        <v>82073.600000000006</v>
      </c>
      <c r="I7" s="4">
        <f>IF(D7&gt;=12,(IF(D7&gt;20,8,D7-12)*2+100)%*B12*16%,(100-(12-D7)*2)*B12%*16%)</f>
        <v>98560.000000000015</v>
      </c>
      <c r="J7" s="4">
        <f>IF(D7&gt;=12,(IF(D7&gt;30,18,D7-12)*3+100)%*B11*16%,(100-(12-D7)*3)*B11%*16%)</f>
        <v>130272</v>
      </c>
      <c r="K7" s="20">
        <f t="shared" si="0"/>
        <v>2.7002046943231441</v>
      </c>
      <c r="L7" s="20">
        <f t="shared" si="1"/>
        <v>2.6884692028985508</v>
      </c>
      <c r="M7" s="20">
        <f t="shared" si="3"/>
        <v>2.0236818181818181</v>
      </c>
      <c r="N7" s="21">
        <f t="shared" si="2"/>
        <v>3.7802865720524017</v>
      </c>
      <c r="O7" s="22">
        <f t="shared" si="2"/>
        <v>3.7638568840579709</v>
      </c>
      <c r="P7" s="22">
        <f t="shared" si="2"/>
        <v>2.833154545454545</v>
      </c>
    </row>
    <row r="8" spans="1:16" ht="40.5" thickTop="1" thickBot="1">
      <c r="A8" s="25"/>
      <c r="B8" s="26"/>
      <c r="C8" s="8" t="s">
        <v>29</v>
      </c>
      <c r="D8" s="9">
        <v>24</v>
      </c>
      <c r="E8" s="4">
        <f>E5*1.16</f>
        <v>229530.36</v>
      </c>
      <c r="F8" s="4">
        <f>F5*1.16</f>
        <v>206577.43999999997</v>
      </c>
      <c r="G8" s="4">
        <f>G5*1.36</f>
        <v>403657.52</v>
      </c>
      <c r="H8" s="4">
        <f>IF(D8&gt;=12,(IF(D8&gt;20,8,D8-12)*2+100)%*B10*16%,(100-(12-D8)*2)*B10%*16%)</f>
        <v>85004.800000000003</v>
      </c>
      <c r="I8" s="4">
        <f>IF(D8&gt;=12,(IF(D8&gt;20,8,D8-12)*2+100)%*B12*16%,(100-(12-D8)*2)*B12%*16%)</f>
        <v>102080</v>
      </c>
      <c r="J8" s="4">
        <f>IF(D8&gt;=12,(IF(D8&gt;30,18,D8-12)*3+100)%*B11*16%,(100-(12-D8)*3)*B11%*16%)</f>
        <v>150144.00000000003</v>
      </c>
      <c r="K8" s="20">
        <f t="shared" si="0"/>
        <v>2.7002046943231437</v>
      </c>
      <c r="L8" s="20">
        <f t="shared" si="1"/>
        <v>2.6884692028985504</v>
      </c>
      <c r="M8" s="20">
        <f t="shared" si="3"/>
        <v>2.0236818181818181</v>
      </c>
      <c r="N8" s="21">
        <f t="shared" si="2"/>
        <v>3.7802865720524008</v>
      </c>
      <c r="O8" s="22">
        <f t="shared" si="2"/>
        <v>3.7638568840579705</v>
      </c>
      <c r="P8" s="22">
        <f t="shared" si="2"/>
        <v>2.833154545454545</v>
      </c>
    </row>
    <row r="9" spans="1:16" ht="21" thickTop="1" thickBot="1">
      <c r="A9" s="25"/>
      <c r="B9" s="26"/>
      <c r="C9" s="8" t="s">
        <v>35</v>
      </c>
      <c r="D9" s="9">
        <v>30</v>
      </c>
      <c r="E9" s="4">
        <v>229530</v>
      </c>
      <c r="F9" s="4">
        <v>206577</v>
      </c>
      <c r="G9" s="4">
        <f>G5*1.54</f>
        <v>457082.78</v>
      </c>
      <c r="H9" s="4">
        <f>IF(D9&gt;=12,(IF(D9&gt;20,8,D9-12)*2+100)%*B10*16%,(100-(12-D9)*2)*B10%*16%)</f>
        <v>85004.800000000003</v>
      </c>
      <c r="I9" s="4">
        <f>IF(D9&gt;=12,(IF(D9&gt;20,8,D9-12)*2+100)%*B12*16%,(100-(12-D9)*2)*B12%*16%)</f>
        <v>102080</v>
      </c>
      <c r="J9" s="4">
        <f>IF(D9&gt;=12,(IF(D9&gt;30,18,D9-12)*3+100)%*B11*16%,(100-(12-D9)*3)*B11%*16%)</f>
        <v>170016</v>
      </c>
      <c r="K9" s="20">
        <f t="shared" si="0"/>
        <v>2.7002004592681823</v>
      </c>
      <c r="L9" s="20">
        <f t="shared" si="1"/>
        <v>2.6884692028985508</v>
      </c>
      <c r="M9" s="20">
        <f t="shared" si="3"/>
        <v>2.0236775078369904</v>
      </c>
      <c r="N9" s="21">
        <f t="shared" si="2"/>
        <v>3.780280642975455</v>
      </c>
      <c r="O9" s="22">
        <f t="shared" si="2"/>
        <v>3.7638568840579709</v>
      </c>
      <c r="P9" s="22">
        <f t="shared" si="2"/>
        <v>2.8331485109717862</v>
      </c>
    </row>
    <row r="10" spans="1:16" ht="20.25" thickTop="1">
      <c r="A10" s="6" t="s">
        <v>8</v>
      </c>
      <c r="B10" s="5">
        <v>458000</v>
      </c>
      <c r="C10" s="15"/>
      <c r="D10" s="10"/>
      <c r="E10" s="11" t="s">
        <v>20</v>
      </c>
      <c r="F10" s="11"/>
      <c r="G10" s="11" t="s">
        <v>23</v>
      </c>
      <c r="H10" s="11"/>
      <c r="I10" s="11"/>
      <c r="J10" s="11"/>
    </row>
    <row r="11" spans="1:16" ht="19.5">
      <c r="A11" s="6" t="s">
        <v>9</v>
      </c>
      <c r="B11" s="5">
        <v>690000</v>
      </c>
      <c r="C11" s="16"/>
      <c r="D11" s="13"/>
      <c r="E11" s="14" t="s">
        <v>21</v>
      </c>
      <c r="F11" s="14"/>
      <c r="G11" s="14" t="s">
        <v>22</v>
      </c>
      <c r="H11" s="14"/>
      <c r="I11" s="14"/>
      <c r="J11" s="14"/>
    </row>
    <row r="12" spans="1:16" ht="19.5">
      <c r="A12" s="6" t="s">
        <v>10</v>
      </c>
      <c r="B12" s="7">
        <v>550000</v>
      </c>
      <c r="C12" s="16"/>
      <c r="D12" s="13"/>
      <c r="E12" s="14"/>
      <c r="F12" s="14"/>
      <c r="G12" s="14"/>
      <c r="H12" s="14"/>
      <c r="I12" s="14"/>
      <c r="J12" s="14">
        <v>12</v>
      </c>
    </row>
    <row r="13" spans="1:16" ht="19.5">
      <c r="A13" s="17" t="s">
        <v>16</v>
      </c>
      <c r="B13" s="17">
        <v>40</v>
      </c>
      <c r="C13" s="12"/>
      <c r="D13" s="13"/>
      <c r="E13" s="14"/>
      <c r="F13" s="14"/>
      <c r="G13" s="14"/>
      <c r="H13" s="14"/>
      <c r="I13" s="14"/>
      <c r="J13" s="14"/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4"/>
  <sheetViews>
    <sheetView rightToLeft="1" topLeftCell="A7" workbookViewId="0">
      <selection activeCell="H6" sqref="H1:J1048576"/>
    </sheetView>
  </sheetViews>
  <sheetFormatPr defaultRowHeight="15"/>
  <cols>
    <col min="2" max="2" width="15.28515625" customWidth="1"/>
    <col min="4" max="4" width="5.42578125" customWidth="1"/>
    <col min="5" max="6" width="8.140625" customWidth="1"/>
    <col min="7" max="7" width="8.28515625" customWidth="1"/>
    <col min="8" max="10" width="8.7109375" customWidth="1"/>
    <col min="11" max="11" width="6.85546875" customWidth="1"/>
    <col min="12" max="13" width="5.42578125" customWidth="1"/>
    <col min="14" max="14" width="7.140625" customWidth="1"/>
    <col min="15" max="15" width="6" customWidth="1"/>
    <col min="16" max="16" width="5.28515625" customWidth="1"/>
  </cols>
  <sheetData>
    <row r="1" spans="1:16" s="29" customFormat="1" ht="91.5" customHeight="1" thickTop="1" thickBot="1">
      <c r="A1" s="30" t="s">
        <v>18</v>
      </c>
      <c r="B1" s="31"/>
      <c r="C1" s="1" t="s">
        <v>0</v>
      </c>
      <c r="D1" s="28" t="s">
        <v>1</v>
      </c>
      <c r="E1" s="2" t="s">
        <v>6</v>
      </c>
      <c r="F1" s="2" t="s">
        <v>7</v>
      </c>
      <c r="G1" s="2" t="s">
        <v>13</v>
      </c>
      <c r="H1" s="2" t="s">
        <v>2</v>
      </c>
      <c r="I1" s="2" t="s">
        <v>11</v>
      </c>
      <c r="J1" s="2" t="s">
        <v>3</v>
      </c>
      <c r="K1" s="3" t="s">
        <v>4</v>
      </c>
      <c r="L1" s="3" t="s">
        <v>5</v>
      </c>
      <c r="M1" s="3" t="s">
        <v>12</v>
      </c>
      <c r="N1" s="18" t="s">
        <v>14</v>
      </c>
      <c r="O1" s="19" t="s">
        <v>15</v>
      </c>
      <c r="P1" s="19" t="s">
        <v>17</v>
      </c>
    </row>
    <row r="2" spans="1:16" ht="21" thickTop="1" thickBot="1">
      <c r="A2" s="23">
        <v>5</v>
      </c>
      <c r="B2" s="24"/>
      <c r="C2" s="8"/>
      <c r="D2" s="9">
        <v>6</v>
      </c>
      <c r="E2" s="4">
        <f>E5*0.88</f>
        <v>160160</v>
      </c>
      <c r="F2" s="4">
        <f>F5*0.88</f>
        <v>144144</v>
      </c>
      <c r="G2" s="4">
        <f>G5*0.82</f>
        <v>223860</v>
      </c>
      <c r="H2" s="4">
        <f>IF(D2&gt;=12,(IF(D2&gt;20,8,D2-12)*2+100)%*B11*16%,(100-(12-D2)*2)*B11%*16%)</f>
        <v>73779.199999999997</v>
      </c>
      <c r="I2" s="4">
        <f>IF(D2&gt;=12,(IF(D2&gt;20,8,D2-12)*2+100)%*B13*16%,(100-(12-D2)*2)*B13%*16%)</f>
        <v>88704</v>
      </c>
      <c r="J2" s="4">
        <f>IF(D2&gt;=12,(IF(D2&gt;30,18,D2-12)*3+100)%*B12*16%,(100-(12-D2)*3)*B12%*16%)</f>
        <v>103648</v>
      </c>
      <c r="K2" s="20">
        <f t="shared" ref="K2:K10" si="0">E2/H2</f>
        <v>2.1708015267175576</v>
      </c>
      <c r="L2" s="20">
        <f t="shared" ref="L2:L10" si="1">G2/J2</f>
        <v>2.1598101265822787</v>
      </c>
      <c r="M2" s="20">
        <f>F2/I2</f>
        <v>1.625</v>
      </c>
      <c r="N2" s="21">
        <f t="shared" ref="N2:N10" si="2">K2*(100+$B$14)%</f>
        <v>3.0391221374045805</v>
      </c>
      <c r="O2" s="22">
        <f t="shared" ref="O2:O10" si="3">L2*(100+$B$14)%</f>
        <v>3.0237341772151898</v>
      </c>
      <c r="P2" s="22">
        <f t="shared" ref="P2:P10" si="4">M2*(100+$B$14)%</f>
        <v>2.2749999999999999</v>
      </c>
    </row>
    <row r="3" spans="1:16" ht="21" thickTop="1" thickBot="1">
      <c r="A3" s="25"/>
      <c r="B3" s="26"/>
      <c r="C3" s="8"/>
      <c r="D3" s="9">
        <v>8</v>
      </c>
      <c r="E3" s="4">
        <f>E5*0.92</f>
        <v>167440</v>
      </c>
      <c r="F3" s="4">
        <f>F5*0.92</f>
        <v>150696</v>
      </c>
      <c r="G3" s="4">
        <f>G5*0.88</f>
        <v>240240</v>
      </c>
      <c r="H3" s="4">
        <f>IF(D3&gt;=12,(IF(D3&gt;20,8,D3-12)*2+100)%*B11*16%,(100-(12-D3)*2)*B11%*16%)</f>
        <v>77132.800000000003</v>
      </c>
      <c r="I3" s="4">
        <f>IF(D3&gt;=12,(IF(D3&gt;20,8,D3-12)*2+100)%*B13*16%,(100-(12-D3)*2)*B13%*16%)</f>
        <v>92736</v>
      </c>
      <c r="J3" s="4">
        <f>IF(D3&gt;=12,(IF(D3&gt;30,18,D3-12)*3+100)%*B12*16%,(100-(12-D3)*3)*B12%*16%)</f>
        <v>111232</v>
      </c>
      <c r="K3" s="20">
        <f t="shared" si="0"/>
        <v>2.1708015267175571</v>
      </c>
      <c r="L3" s="20">
        <f t="shared" si="1"/>
        <v>2.1598101265822787</v>
      </c>
      <c r="M3" s="20">
        <f t="shared" ref="M3:M10" si="5">F3/I3</f>
        <v>1.625</v>
      </c>
      <c r="N3" s="21">
        <f t="shared" si="2"/>
        <v>3.0391221374045796</v>
      </c>
      <c r="O3" s="22">
        <f t="shared" si="3"/>
        <v>3.0237341772151898</v>
      </c>
      <c r="P3" s="22">
        <f t="shared" si="4"/>
        <v>2.2749999999999999</v>
      </c>
    </row>
    <row r="4" spans="1:16" ht="40.5" thickTop="1" thickBot="1">
      <c r="A4" s="25"/>
      <c r="B4" s="26"/>
      <c r="C4" s="8" t="s">
        <v>36</v>
      </c>
      <c r="D4" s="9">
        <v>10</v>
      </c>
      <c r="E4" s="4">
        <f>E5*0.96</f>
        <v>174720</v>
      </c>
      <c r="F4" s="4">
        <f>F5*0.96</f>
        <v>157248</v>
      </c>
      <c r="G4" s="4">
        <f>G5*0.94</f>
        <v>256620</v>
      </c>
      <c r="H4" s="4">
        <f>IF(D4&gt;=12,(IF(D4&gt;20,8,D4-12)*2+100)%*B11*16%,(100-(12-D4)*2)*B11%*16%)</f>
        <v>80486.400000000009</v>
      </c>
      <c r="I4" s="4">
        <f>IF(D4&gt;=12,(IF(D4&gt;20,8,D4-12)*2+100)%*B13*16%,(100-(12-D4)*2)*B13%*16%)</f>
        <v>96768</v>
      </c>
      <c r="J4" s="4">
        <f>IF(D4&gt;=12,(IF(D4&gt;30,18,D4-12)*3+100)%*B12*16%,(100-(12-D4)*3)*B12%*16%)</f>
        <v>118816</v>
      </c>
      <c r="K4" s="20">
        <f t="shared" si="0"/>
        <v>2.1708015267175571</v>
      </c>
      <c r="L4" s="20">
        <f t="shared" si="1"/>
        <v>2.1598101265822787</v>
      </c>
      <c r="M4" s="20">
        <f t="shared" si="5"/>
        <v>1.625</v>
      </c>
      <c r="N4" s="21">
        <f t="shared" si="2"/>
        <v>3.0391221374045796</v>
      </c>
      <c r="O4" s="22">
        <f t="shared" si="3"/>
        <v>3.0237341772151898</v>
      </c>
      <c r="P4" s="22">
        <f t="shared" si="4"/>
        <v>2.2749999999999999</v>
      </c>
    </row>
    <row r="5" spans="1:16" ht="60" thickTop="1" thickBot="1">
      <c r="A5" s="25"/>
      <c r="B5" s="26"/>
      <c r="C5" s="8" t="s">
        <v>72</v>
      </c>
      <c r="D5" s="9">
        <v>12</v>
      </c>
      <c r="E5" s="4">
        <v>182000</v>
      </c>
      <c r="F5" s="4">
        <v>163800</v>
      </c>
      <c r="G5" s="4">
        <v>273000</v>
      </c>
      <c r="H5" s="4">
        <f>IF(D5&gt;=12,(IF(D5&gt;20,8,D5-12)*2+100)%*B11*16%,(100-(12-D5)*2)*B11%*16%)</f>
        <v>83840</v>
      </c>
      <c r="I5" s="4">
        <f>IF(D5&gt;=12,(IF(D5&gt;20,8,D5-12)*2+100)%*B13*16%,(100-(12-D5)*2)*B13%*16%)</f>
        <v>100800</v>
      </c>
      <c r="J5" s="4">
        <f>IF(D5&gt;=12,(IF(D5&gt;30,18,D5-12)*3+100)%*B12*16%,(100-(12-D5)*3)*B12%*16%)</f>
        <v>126400</v>
      </c>
      <c r="K5" s="20">
        <f t="shared" si="0"/>
        <v>2.1708015267175571</v>
      </c>
      <c r="L5" s="20">
        <f t="shared" si="1"/>
        <v>2.1598101265822787</v>
      </c>
      <c r="M5" s="20">
        <f t="shared" si="5"/>
        <v>1.625</v>
      </c>
      <c r="N5" s="21">
        <f t="shared" si="2"/>
        <v>3.0391221374045796</v>
      </c>
      <c r="O5" s="22">
        <f t="shared" si="3"/>
        <v>3.0237341772151898</v>
      </c>
      <c r="P5" s="22">
        <f t="shared" si="4"/>
        <v>2.2749999999999999</v>
      </c>
    </row>
    <row r="6" spans="1:16" ht="21" thickTop="1" thickBot="1">
      <c r="A6" s="25"/>
      <c r="B6" s="26"/>
      <c r="C6" s="8" t="s">
        <v>33</v>
      </c>
      <c r="D6" s="9">
        <v>16</v>
      </c>
      <c r="E6" s="4">
        <f>E5*1.08</f>
        <v>196560</v>
      </c>
      <c r="F6" s="4">
        <f>F5*1.08</f>
        <v>176904</v>
      </c>
      <c r="G6" s="4">
        <f>G5*1.08</f>
        <v>294840</v>
      </c>
      <c r="H6" s="4">
        <f>IF(D6&gt;=12,(IF(D6&gt;20,8,D6-12)*2+100)%*B11*16%,(100-(12-D6)*2)*B11%*16%)</f>
        <v>90547.199999999997</v>
      </c>
      <c r="I6" s="4">
        <f>IF(D6&gt;=12,(IF(D6&gt;20,8,D6-12)*2+100)%*B13*16%,(100-(12-D6)*2)*B13%*16%)</f>
        <v>108864</v>
      </c>
      <c r="J6" s="4">
        <f>IF(D6&gt;=12,(IF(D6&gt;30,18,D6-12)*3+100)%*B12*16%,(100-(12-D6)*3)*B12%*16%)</f>
        <v>141568.00000000003</v>
      </c>
      <c r="K6" s="20">
        <f t="shared" si="0"/>
        <v>2.1708015267175571</v>
      </c>
      <c r="L6" s="20">
        <f t="shared" si="1"/>
        <v>2.0826740506329111</v>
      </c>
      <c r="M6" s="20">
        <f t="shared" si="5"/>
        <v>1.625</v>
      </c>
      <c r="N6" s="21">
        <f t="shared" si="2"/>
        <v>3.0391221374045796</v>
      </c>
      <c r="O6" s="22">
        <f t="shared" si="3"/>
        <v>2.9157436708860756</v>
      </c>
      <c r="P6" s="22">
        <f t="shared" si="4"/>
        <v>2.2749999999999999</v>
      </c>
    </row>
    <row r="7" spans="1:16" ht="21" thickTop="1" thickBot="1">
      <c r="A7" s="25"/>
      <c r="B7" s="26"/>
      <c r="C7" s="8" t="s">
        <v>30</v>
      </c>
      <c r="D7" s="9">
        <v>20</v>
      </c>
      <c r="E7" s="4">
        <f>E5*1.16</f>
        <v>211120</v>
      </c>
      <c r="F7" s="4">
        <f>F5*1.16</f>
        <v>190008</v>
      </c>
      <c r="G7" s="4">
        <f>G5*1.24</f>
        <v>338520</v>
      </c>
      <c r="H7" s="4">
        <f>IF(D7&gt;=12,(IF(D7&gt;20,8,D7-12)*2+100)%*B11*16%,(100-(12-D7)*2)*B11%*16%)</f>
        <v>97254.400000000009</v>
      </c>
      <c r="I7" s="4">
        <f>IF(D7&gt;=12,(IF(D7&gt;20,8,D7-12)*2+100)%*B13*16%,(100-(12-D7)*2)*B13%*16%)</f>
        <v>116928</v>
      </c>
      <c r="J7" s="4">
        <f>IF(D7&gt;=12,(IF(D7&gt;30,18,D7-12)*3+100)%*B12*16%,(100-(12-D7)*3)*B12%*16%)</f>
        <v>156736</v>
      </c>
      <c r="K7" s="20">
        <f t="shared" si="0"/>
        <v>2.1708015267175571</v>
      </c>
      <c r="L7" s="20">
        <f t="shared" si="1"/>
        <v>2.1598101265822787</v>
      </c>
      <c r="M7" s="20">
        <f t="shared" si="5"/>
        <v>1.625</v>
      </c>
      <c r="N7" s="21">
        <f t="shared" si="2"/>
        <v>3.0391221374045796</v>
      </c>
      <c r="O7" s="22">
        <f t="shared" si="3"/>
        <v>3.0237341772151898</v>
      </c>
      <c r="P7" s="22">
        <f t="shared" si="4"/>
        <v>2.2749999999999999</v>
      </c>
    </row>
    <row r="8" spans="1:16" ht="40.5" thickTop="1" thickBot="1">
      <c r="A8" s="25"/>
      <c r="B8" s="26"/>
      <c r="C8" s="8" t="s">
        <v>71</v>
      </c>
      <c r="D8" s="9">
        <v>24</v>
      </c>
      <c r="E8" s="4">
        <v>211120</v>
      </c>
      <c r="F8" s="4">
        <v>190008</v>
      </c>
      <c r="G8" s="4">
        <f>G5*1.36</f>
        <v>371280</v>
      </c>
      <c r="H8" s="4">
        <f>IF(D8&gt;=12,(IF(D8&gt;20,8,D8-12)*2+100)%*B11*16%,(100-(12-D8)*2)*B11%*16%)</f>
        <v>97254.400000000009</v>
      </c>
      <c r="I8" s="4">
        <f>IF(D8&gt;=12,(IF(D8&gt;20,8,D8-12)*2+100)%*B13*16%,(100-(12-D8)*2)*B13%*16%)</f>
        <v>116928</v>
      </c>
      <c r="J8" s="4">
        <f>IF(D8&gt;=12,(IF(D8&gt;30,18,D8-12)*3+100)%*B12*16%,(100-(12-D8)*3)*B12%*16%)</f>
        <v>171904</v>
      </c>
      <c r="K8" s="20">
        <f t="shared" si="0"/>
        <v>2.1708015267175571</v>
      </c>
      <c r="L8" s="20">
        <f t="shared" si="1"/>
        <v>2.1598101265822787</v>
      </c>
      <c r="M8" s="20">
        <f t="shared" si="5"/>
        <v>1.625</v>
      </c>
      <c r="N8" s="21">
        <f t="shared" si="2"/>
        <v>3.0391221374045796</v>
      </c>
      <c r="O8" s="22">
        <f t="shared" si="3"/>
        <v>3.0237341772151898</v>
      </c>
      <c r="P8" s="22">
        <f t="shared" si="4"/>
        <v>2.2749999999999999</v>
      </c>
    </row>
    <row r="9" spans="1:16" ht="21" thickTop="1" thickBot="1">
      <c r="A9" s="25"/>
      <c r="B9" s="26"/>
      <c r="C9" s="8" t="s">
        <v>70</v>
      </c>
      <c r="D9" s="9">
        <v>30</v>
      </c>
      <c r="E9" s="4">
        <v>211120</v>
      </c>
      <c r="F9" s="4">
        <v>190008</v>
      </c>
      <c r="G9" s="4">
        <f>G5*1.54</f>
        <v>420420</v>
      </c>
      <c r="H9" s="4">
        <f>IF(D9&gt;=12,(IF(D9&gt;20,8,D9-12)*2+100)%*B11*16%,(100-(12-D9)*2)*B11%*16%)</f>
        <v>97254.400000000009</v>
      </c>
      <c r="I9" s="4">
        <f>IF(D9&gt;=12,(IF(D9&gt;20,8,D9-12)*2+100)%*B13*16%,(100-(12-D9)*2)*B13%*16%)</f>
        <v>116928</v>
      </c>
      <c r="J9" s="4">
        <f>IF(D9&gt;=12,(IF(D9&gt;30,18,D9-12)*3+100)%*B12*16%,(100-(12-D9)*3)*B12%*16%)</f>
        <v>194656</v>
      </c>
      <c r="K9" s="20">
        <f t="shared" si="0"/>
        <v>2.1708015267175571</v>
      </c>
      <c r="L9" s="20">
        <f t="shared" si="1"/>
        <v>2.1598101265822787</v>
      </c>
      <c r="M9" s="20">
        <f t="shared" si="5"/>
        <v>1.625</v>
      </c>
      <c r="N9" s="21">
        <f t="shared" si="2"/>
        <v>3.0391221374045796</v>
      </c>
      <c r="O9" s="22">
        <f t="shared" si="3"/>
        <v>3.0237341772151898</v>
      </c>
      <c r="P9" s="22">
        <f t="shared" si="4"/>
        <v>2.2749999999999999</v>
      </c>
    </row>
    <row r="10" spans="1:16" ht="40.5" thickTop="1" thickBot="1">
      <c r="A10" s="25"/>
      <c r="B10" s="26"/>
      <c r="C10" s="8" t="s">
        <v>37</v>
      </c>
      <c r="D10" s="9">
        <v>40</v>
      </c>
      <c r="E10" s="4">
        <v>211120</v>
      </c>
      <c r="F10" s="4">
        <v>190008</v>
      </c>
      <c r="G10" s="4">
        <v>420420</v>
      </c>
      <c r="H10" s="4">
        <f>IF(D10&gt;=12,(IF(D10&gt;20,8,D10-12)*2+100)%*B11*16%,(100-(12-D10)*2)*B11%*16%)</f>
        <v>97254.400000000009</v>
      </c>
      <c r="I10" s="4">
        <f>IF(D10&gt;=12,(IF(D10&gt;20,8,D10-12)*2+100)%*B13*16%,(100-(12-D10)*2)*B13%*16%)</f>
        <v>116928</v>
      </c>
      <c r="J10" s="4">
        <f>IF(D10&gt;=12,(IF(D10&gt;30,18,D10-12)*3+100)%*B12*16%,(100-(12-D10)*3)*B12%*16%)</f>
        <v>194656</v>
      </c>
      <c r="K10" s="20">
        <f t="shared" si="0"/>
        <v>2.1708015267175571</v>
      </c>
      <c r="L10" s="20">
        <f t="shared" si="1"/>
        <v>2.1598101265822787</v>
      </c>
      <c r="M10" s="20">
        <f t="shared" si="5"/>
        <v>1.625</v>
      </c>
      <c r="N10" s="21">
        <f t="shared" si="2"/>
        <v>3.0391221374045796</v>
      </c>
      <c r="O10" s="22">
        <f t="shared" si="3"/>
        <v>3.0237341772151898</v>
      </c>
      <c r="P10" s="22">
        <f t="shared" si="4"/>
        <v>2.2749999999999999</v>
      </c>
    </row>
    <row r="11" spans="1:16" ht="20.25" thickTop="1">
      <c r="A11" s="6" t="s">
        <v>8</v>
      </c>
      <c r="B11" s="5">
        <v>524000</v>
      </c>
      <c r="C11" s="15"/>
      <c r="D11" s="10"/>
      <c r="E11" s="11" t="s">
        <v>20</v>
      </c>
      <c r="F11" s="11"/>
      <c r="G11" s="11" t="s">
        <v>23</v>
      </c>
      <c r="H11" s="11"/>
      <c r="I11" s="11"/>
      <c r="J11" s="11"/>
    </row>
    <row r="12" spans="1:16" ht="19.5">
      <c r="A12" s="6" t="s">
        <v>9</v>
      </c>
      <c r="B12" s="5">
        <v>790000</v>
      </c>
      <c r="C12" s="16"/>
      <c r="D12" s="13"/>
      <c r="E12" s="14" t="s">
        <v>21</v>
      </c>
      <c r="F12" s="14"/>
      <c r="G12" s="14" t="s">
        <v>22</v>
      </c>
      <c r="H12" s="14"/>
      <c r="I12" s="14"/>
      <c r="J12" s="14"/>
    </row>
    <row r="13" spans="1:16" ht="19.5">
      <c r="A13" s="6" t="s">
        <v>10</v>
      </c>
      <c r="B13" s="7">
        <v>630000</v>
      </c>
      <c r="C13" s="16"/>
      <c r="D13" s="13"/>
      <c r="E13" s="14"/>
      <c r="F13" s="14"/>
      <c r="G13" s="14"/>
      <c r="H13" s="14"/>
      <c r="I13" s="14"/>
      <c r="J13" s="14">
        <v>13</v>
      </c>
    </row>
    <row r="14" spans="1:16" ht="19.5">
      <c r="A14" s="17" t="s">
        <v>16</v>
      </c>
      <c r="B14" s="17">
        <v>40</v>
      </c>
      <c r="C14" s="12"/>
      <c r="D14" s="13"/>
      <c r="E14" s="14"/>
      <c r="F14" s="14"/>
      <c r="G14" s="14"/>
      <c r="H14" s="14"/>
      <c r="I14" s="14"/>
      <c r="J14" s="14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5"/>
  <sheetViews>
    <sheetView rightToLeft="1" topLeftCell="A4" workbookViewId="0">
      <selection activeCell="L13" sqref="L13"/>
    </sheetView>
  </sheetViews>
  <sheetFormatPr defaultRowHeight="15"/>
  <cols>
    <col min="2" max="2" width="14.5703125" customWidth="1"/>
    <col min="3" max="3" width="9.42578125" customWidth="1"/>
    <col min="4" max="4" width="5.7109375" customWidth="1"/>
    <col min="5" max="10" width="9.140625" customWidth="1"/>
    <col min="11" max="11" width="7.42578125" customWidth="1"/>
    <col min="12" max="12" width="6.7109375" customWidth="1"/>
    <col min="13" max="13" width="7.140625" customWidth="1"/>
    <col min="15" max="16" width="7.42578125" customWidth="1"/>
  </cols>
  <sheetData>
    <row r="1" spans="1:16" s="29" customFormat="1" ht="91.5" customHeight="1" thickTop="1" thickBot="1">
      <c r="A1" s="30" t="s">
        <v>18</v>
      </c>
      <c r="B1" s="31"/>
      <c r="C1" s="1" t="s">
        <v>0</v>
      </c>
      <c r="D1" s="28" t="s">
        <v>1</v>
      </c>
      <c r="E1" s="2" t="s">
        <v>6</v>
      </c>
      <c r="F1" s="2" t="s">
        <v>7</v>
      </c>
      <c r="G1" s="2" t="s">
        <v>13</v>
      </c>
      <c r="H1" s="2" t="s">
        <v>2</v>
      </c>
      <c r="I1" s="2" t="s">
        <v>11</v>
      </c>
      <c r="J1" s="2" t="s">
        <v>3</v>
      </c>
      <c r="K1" s="3" t="s">
        <v>4</v>
      </c>
      <c r="L1" s="3" t="s">
        <v>5</v>
      </c>
      <c r="M1" s="3" t="s">
        <v>12</v>
      </c>
      <c r="N1" s="18" t="s">
        <v>14</v>
      </c>
      <c r="O1" s="19" t="s">
        <v>15</v>
      </c>
      <c r="P1" s="19" t="s">
        <v>17</v>
      </c>
    </row>
    <row r="2" spans="1:16" ht="21.75" thickTop="1" thickBot="1">
      <c r="A2" s="23" t="s">
        <v>38</v>
      </c>
      <c r="B2" s="24"/>
      <c r="C2" s="8"/>
      <c r="D2" s="9">
        <v>6</v>
      </c>
      <c r="E2" s="4">
        <f>E5*0.88</f>
        <v>176000</v>
      </c>
      <c r="F2" s="4">
        <f>F5*0.88</f>
        <v>158400</v>
      </c>
      <c r="G2" s="4">
        <f>G5*0.82</f>
        <v>245999.99999999997</v>
      </c>
      <c r="H2" s="4">
        <f>IF(D2&gt;G908,(IF(D2&gt;20,8,D2-12)*2+100)%*B12*16%,(E9=100-(12-D2)*2)*B12%*16%)</f>
        <v>64486.400000000001</v>
      </c>
      <c r="I2" s="4">
        <f>IF(D2&gt;=12,(IF(D2&gt;20,8,D2-12)*2+100)%*B14*16%,(100-(12-D2)*2)*B14%*16%)</f>
        <v>77440</v>
      </c>
      <c r="J2" s="4">
        <f>IF(D2&gt;=12,(IF(D2&gt;30,18,D2-12)*3+100)%*B13*16%,(100-(12-D2)*3)*B13%*16%)</f>
        <v>90528</v>
      </c>
      <c r="K2" s="20">
        <f t="shared" ref="K2:K11" si="0">E2/H2</f>
        <v>2.7292576419213974</v>
      </c>
      <c r="L2" s="20">
        <f t="shared" ref="L2:L11" si="1">G2/J2</f>
        <v>2.7173913043478257</v>
      </c>
      <c r="M2" s="20">
        <f>F2/I2</f>
        <v>2.0454545454545454</v>
      </c>
      <c r="N2" s="21">
        <f t="shared" ref="N2:N11" si="2">K2*(100+$B$15)%</f>
        <v>3.820960698689956</v>
      </c>
      <c r="O2" s="22">
        <f t="shared" ref="O2:O11" si="3">L2*(100+$B$15)%</f>
        <v>3.8043478260869557</v>
      </c>
      <c r="P2" s="22">
        <f t="shared" ref="P2:P11" si="4">M2*(100+$B$15)%</f>
        <v>2.8636363636363633</v>
      </c>
    </row>
    <row r="3" spans="1:16" ht="79.5" thickTop="1" thickBot="1">
      <c r="A3" s="25"/>
      <c r="B3" s="26"/>
      <c r="C3" s="8" t="s">
        <v>42</v>
      </c>
      <c r="D3" s="9">
        <v>8</v>
      </c>
      <c r="E3" s="4">
        <f>E5*0.92</f>
        <v>184000</v>
      </c>
      <c r="F3" s="4">
        <f>F5*0.92</f>
        <v>165600</v>
      </c>
      <c r="G3" s="4">
        <f>G5*0.88</f>
        <v>264000</v>
      </c>
      <c r="H3" s="4">
        <f>IF(D3&gt;=12,(IF(D3&gt;20,8,D3-12)*2+100)%*B12*16%,(100-(12-D3)*2)*B12%*16%)</f>
        <v>67417.600000000006</v>
      </c>
      <c r="I3" s="4">
        <f>IF(D3&gt;=12,(IF(D3&gt;20,8,D3-12)*2+100)%*B14*16%,(100-(12-D3)*2)*B14%*16%)</f>
        <v>80960</v>
      </c>
      <c r="J3" s="4">
        <f>IF(D3&gt;=12,(IF(D3&gt;30,18,D3-12)*3+100)%*B13*16%,(100-(12-D3)*3)*B13%*16%)</f>
        <v>97152</v>
      </c>
      <c r="K3" s="20">
        <f t="shared" si="0"/>
        <v>2.729257641921397</v>
      </c>
      <c r="L3" s="20">
        <f t="shared" si="1"/>
        <v>2.7173913043478262</v>
      </c>
      <c r="M3" s="20">
        <f t="shared" ref="M3:M11" si="5">F3/I3</f>
        <v>2.0454545454545454</v>
      </c>
      <c r="N3" s="21">
        <f t="shared" si="2"/>
        <v>3.8209606986899556</v>
      </c>
      <c r="O3" s="22">
        <f t="shared" si="3"/>
        <v>3.8043478260869565</v>
      </c>
      <c r="P3" s="22">
        <f t="shared" si="4"/>
        <v>2.8636363636363633</v>
      </c>
    </row>
    <row r="4" spans="1:16" ht="39.75" customHeight="1" thickTop="1" thickBot="1">
      <c r="A4" s="25"/>
      <c r="B4" s="26"/>
      <c r="C4" s="8" t="s">
        <v>41</v>
      </c>
      <c r="D4" s="9">
        <v>10</v>
      </c>
      <c r="E4" s="4">
        <f>E5*0.96</f>
        <v>192000</v>
      </c>
      <c r="F4" s="4">
        <f>F5*0.96</f>
        <v>172800</v>
      </c>
      <c r="G4" s="4">
        <f>G5*0.94</f>
        <v>282000</v>
      </c>
      <c r="H4" s="4">
        <f>IF(D4&gt;=12,(IF(D4&gt;20,8,D4-12)*2+100)%*B12*16%,(100-(12-D4)*2)*B12%*16%)</f>
        <v>70348.800000000003</v>
      </c>
      <c r="I4" s="4">
        <f>IF(D4&gt;=12,(IF(D4&gt;20,8,D4-12)*2+100)%*B14*16%,(100-(12-D4)*2)*B14%*16%)</f>
        <v>84480</v>
      </c>
      <c r="J4" s="4">
        <f>IF(D4&gt;=12,(IF(D4&gt;30,18,D4-12)*3+100)%*B13*16%,(100-(12-D4)*3)*B13%*16%)</f>
        <v>103776</v>
      </c>
      <c r="K4" s="20">
        <f t="shared" si="0"/>
        <v>2.7292576419213974</v>
      </c>
      <c r="L4" s="20">
        <f t="shared" si="1"/>
        <v>2.7173913043478262</v>
      </c>
      <c r="M4" s="20">
        <f t="shared" si="5"/>
        <v>2.0454545454545454</v>
      </c>
      <c r="N4" s="21">
        <f t="shared" si="2"/>
        <v>3.820960698689956</v>
      </c>
      <c r="O4" s="22">
        <f t="shared" si="3"/>
        <v>3.8043478260869565</v>
      </c>
      <c r="P4" s="22">
        <f t="shared" si="4"/>
        <v>2.8636363636363633</v>
      </c>
    </row>
    <row r="5" spans="1:16" ht="37.5" customHeight="1" thickTop="1" thickBot="1">
      <c r="A5" s="25"/>
      <c r="B5" s="26"/>
      <c r="C5" s="8" t="s">
        <v>41</v>
      </c>
      <c r="D5" s="9">
        <v>12</v>
      </c>
      <c r="E5" s="4">
        <v>200000</v>
      </c>
      <c r="F5" s="4">
        <v>180000</v>
      </c>
      <c r="G5" s="4">
        <v>300000</v>
      </c>
      <c r="H5" s="4">
        <f>IF(D5&gt;=12,(IF(D5&gt;20,8,D5-12)*2+100)%*B12*16%,(100-(12-D5)*2)*B12%*16%)</f>
        <v>73280</v>
      </c>
      <c r="I5" s="4">
        <f>IF(D5&gt;=12,(IF(D5&gt;20,8,D5-12)*2+100)%*B14*16%,(100-(12-D5)*2)*B14%*16%)</f>
        <v>88000</v>
      </c>
      <c r="J5" s="4">
        <f>IF(D5&gt;=12,(IF(D5&gt;30,18,D5-12)*3+100)%*B13*16%,(100-(12-D5)*3)*B13%*16%)</f>
        <v>110400</v>
      </c>
      <c r="K5" s="20">
        <f t="shared" si="0"/>
        <v>2.7292576419213974</v>
      </c>
      <c r="L5" s="20">
        <f t="shared" si="1"/>
        <v>2.7173913043478262</v>
      </c>
      <c r="M5" s="20">
        <f t="shared" si="5"/>
        <v>2.0454545454545454</v>
      </c>
      <c r="N5" s="21">
        <f t="shared" si="2"/>
        <v>3.820960698689956</v>
      </c>
      <c r="O5" s="22">
        <f t="shared" si="3"/>
        <v>3.8043478260869565</v>
      </c>
      <c r="P5" s="22">
        <f t="shared" si="4"/>
        <v>2.8636363636363633</v>
      </c>
    </row>
    <row r="6" spans="1:16" ht="37.5" customHeight="1" thickTop="1" thickBot="1">
      <c r="A6" s="25"/>
      <c r="B6" s="26"/>
      <c r="C6" s="8" t="s">
        <v>73</v>
      </c>
      <c r="D6" s="9">
        <v>14</v>
      </c>
      <c r="E6" s="4">
        <f>E5*1.04</f>
        <v>208000</v>
      </c>
      <c r="F6" s="4">
        <f>-F5*1.04</f>
        <v>-187200</v>
      </c>
      <c r="G6" s="4">
        <f>G5*1.06</f>
        <v>318000</v>
      </c>
      <c r="H6" s="4">
        <f>IF(D6&gt;=12,(IF(D6&gt;20,8,D6-12)*2+100)%*B12*16%,(100-(12-D6)*2)*B12%*16%)</f>
        <v>76211.199999999997</v>
      </c>
      <c r="I6" s="4">
        <f>IF(D6&gt;=12,(IF(D6&gt;20,8,D6-12)*2+100)%*B14*16%,(100-(12-D6)*2)*B14%*16%)</f>
        <v>91520</v>
      </c>
      <c r="J6" s="4">
        <f>IF(D6&gt;=12,(IF(D6&gt;30,18,D6-12)*3+100)%*B13*16%,(100-(12-D6)*3)*B13%*16%)</f>
        <v>117024</v>
      </c>
      <c r="K6" s="20">
        <f t="shared" si="0"/>
        <v>2.7292576419213974</v>
      </c>
      <c r="L6" s="20">
        <f t="shared" si="1"/>
        <v>2.7173913043478262</v>
      </c>
      <c r="M6" s="20">
        <f t="shared" si="5"/>
        <v>-2.0454545454545454</v>
      </c>
      <c r="N6" s="21">
        <f t="shared" si="2"/>
        <v>3.820960698689956</v>
      </c>
      <c r="O6" s="22">
        <f t="shared" si="3"/>
        <v>3.8043478260869565</v>
      </c>
      <c r="P6" s="22">
        <f t="shared" si="4"/>
        <v>-2.8636363636363633</v>
      </c>
    </row>
    <row r="7" spans="1:16" ht="27" customHeight="1" thickTop="1" thickBot="1">
      <c r="A7" s="25"/>
      <c r="B7" s="26"/>
      <c r="C7" s="8" t="s">
        <v>74</v>
      </c>
      <c r="D7" s="9">
        <v>16</v>
      </c>
      <c r="E7" s="4">
        <f>E5*1.08</f>
        <v>216000</v>
      </c>
      <c r="F7" s="4">
        <f>F5*1.08</f>
        <v>194400</v>
      </c>
      <c r="G7" s="4">
        <f>G5*1.12</f>
        <v>336000.00000000006</v>
      </c>
      <c r="H7" s="4">
        <f>IF(D7&gt;=12,(IF(D7&gt;20,8,D7-12)*2+100)%*B12*16%,(100-(12-D7)*2)*B12%*16%)</f>
        <v>79142.400000000009</v>
      </c>
      <c r="I7" s="4">
        <f>IF(D7&gt;=12,(IF(D7&gt;20,8,D7-12)*2+100)%*B14*16%,(100-(12-D7)*2)*B14%*16%)</f>
        <v>95040</v>
      </c>
      <c r="J7" s="4">
        <f>IF(D7&gt;=12,(IF(D7&gt;30,18,D7-12)*3+100)%*B13*16%,(100-(12-D7)*3)*B13%*16%)</f>
        <v>123648.00000000001</v>
      </c>
      <c r="K7" s="20">
        <f t="shared" si="0"/>
        <v>2.729257641921397</v>
      </c>
      <c r="L7" s="20">
        <f t="shared" si="1"/>
        <v>2.7173913043478262</v>
      </c>
      <c r="M7" s="20">
        <f t="shared" si="5"/>
        <v>2.0454545454545454</v>
      </c>
      <c r="N7" s="21">
        <f t="shared" si="2"/>
        <v>3.8209606986899556</v>
      </c>
      <c r="O7" s="22">
        <f t="shared" si="3"/>
        <v>3.8043478260869565</v>
      </c>
      <c r="P7" s="22">
        <f t="shared" si="4"/>
        <v>2.8636363636363633</v>
      </c>
    </row>
    <row r="8" spans="1:16" ht="18" customHeight="1" thickTop="1" thickBot="1">
      <c r="A8" s="25"/>
      <c r="B8" s="26"/>
      <c r="C8" s="8" t="s">
        <v>30</v>
      </c>
      <c r="D8" s="9">
        <v>20</v>
      </c>
      <c r="E8" s="4">
        <f>E5*1.16</f>
        <v>231999.99999999997</v>
      </c>
      <c r="F8" s="4">
        <f>F5*1.16</f>
        <v>208800</v>
      </c>
      <c r="G8" s="4">
        <f>G5*1.24</f>
        <v>372000</v>
      </c>
      <c r="H8" s="4">
        <f>IF(D8&gt;=12,(IF(D8&gt;20,8,D8-12)*2+100)%*B12*16%,(100-(12-D8)*2)*B12%*16%)</f>
        <v>85004.800000000003</v>
      </c>
      <c r="I8" s="4">
        <f>IF(D8&gt;=12,(IF(D8&gt;20,8,D8-12)*2+100)%*B14*16%,(100-(12-D8)*2)*B14%*16%)</f>
        <v>102080</v>
      </c>
      <c r="J8" s="4">
        <f>IF(D8&gt;=12,(IF(D8&gt;30,18,D8-12)*3+100)%*B13*16%,(100-(12-D8)*3)*B13%*16%)</f>
        <v>136896</v>
      </c>
      <c r="K8" s="20">
        <f t="shared" si="0"/>
        <v>2.729257641921397</v>
      </c>
      <c r="L8" s="20">
        <f t="shared" si="1"/>
        <v>2.7173913043478262</v>
      </c>
      <c r="M8" s="20">
        <f t="shared" si="5"/>
        <v>2.0454545454545454</v>
      </c>
      <c r="N8" s="21">
        <f t="shared" si="2"/>
        <v>3.8209606986899556</v>
      </c>
      <c r="O8" s="22">
        <f t="shared" si="3"/>
        <v>3.8043478260869565</v>
      </c>
      <c r="P8" s="22">
        <f t="shared" si="4"/>
        <v>2.8636363636363633</v>
      </c>
    </row>
    <row r="9" spans="1:16" ht="40.5" thickTop="1" thickBot="1">
      <c r="A9" s="25"/>
      <c r="B9" s="26"/>
      <c r="C9" s="8" t="s">
        <v>39</v>
      </c>
      <c r="D9" s="9">
        <v>24</v>
      </c>
      <c r="E9" s="4">
        <v>232000</v>
      </c>
      <c r="F9" s="4">
        <v>208800</v>
      </c>
      <c r="G9" s="4">
        <f>G5*1.36</f>
        <v>408000.00000000006</v>
      </c>
      <c r="H9" s="4">
        <f>IF(D9&gt;=12,(IF(D9&gt;20,8,D9-12)*2+100)%*B12*16%,(100-(12-D9)*2)*B12%*16%)</f>
        <v>85004.800000000003</v>
      </c>
      <c r="I9" s="4">
        <f>IF(D9&gt;=12,(IF(D9&gt;20,8,D9-12)*2+100)%*B14*16%,(100-(12-D9)*2)*B14%*16%)</f>
        <v>102080</v>
      </c>
      <c r="J9" s="4">
        <f>IF(D9&gt;=12,(IF(D9&gt;30,18,D9-12)*3+100)%*B13*16%,(100-(12-D9)*3)*B13%*16%)</f>
        <v>150144.00000000003</v>
      </c>
      <c r="K9" s="20">
        <f t="shared" si="0"/>
        <v>2.7292576419213974</v>
      </c>
      <c r="L9" s="20">
        <f t="shared" si="1"/>
        <v>2.7173913043478262</v>
      </c>
      <c r="M9" s="20">
        <f t="shared" si="5"/>
        <v>2.0454545454545454</v>
      </c>
      <c r="N9" s="21">
        <f t="shared" si="2"/>
        <v>3.820960698689956</v>
      </c>
      <c r="O9" s="22">
        <f t="shared" si="3"/>
        <v>3.8043478260869565</v>
      </c>
      <c r="P9" s="22">
        <f t="shared" si="4"/>
        <v>2.8636363636363633</v>
      </c>
    </row>
    <row r="10" spans="1:16" ht="28.5" customHeight="1" thickTop="1" thickBot="1">
      <c r="A10" s="25"/>
      <c r="B10" s="26"/>
      <c r="C10" s="8" t="s">
        <v>37</v>
      </c>
      <c r="D10" s="9">
        <v>40</v>
      </c>
      <c r="E10" s="4">
        <v>232000</v>
      </c>
      <c r="F10" s="4">
        <v>208800</v>
      </c>
      <c r="G10" s="4">
        <f>G5*1.54</f>
        <v>462000</v>
      </c>
      <c r="H10" s="4">
        <f>IF(D10&gt;=12,(IF(D10&gt;20,8,D10-12)*2+100)%*B12*16%,(100-(12-D10)*2)*B12%*16%)</f>
        <v>85004.800000000003</v>
      </c>
      <c r="I10" s="4">
        <f>IF(D10&gt;=12,(IF(D10&gt;20,8,D10-12)*2+100)%*B14*16%,(100-(12-D10)*2)*B14%*16%)</f>
        <v>102080</v>
      </c>
      <c r="J10" s="4">
        <f>IF(D10&gt;=12,(IF(D10&gt;30,18,D10-12)*3+100)%*B13*16%,(100-(12-D10)*3)*B13%*16%)</f>
        <v>170016</v>
      </c>
      <c r="K10" s="20">
        <f t="shared" si="0"/>
        <v>2.7292576419213974</v>
      </c>
      <c r="L10" s="20">
        <f t="shared" si="1"/>
        <v>2.7173913043478262</v>
      </c>
      <c r="M10" s="20">
        <f t="shared" si="5"/>
        <v>2.0454545454545454</v>
      </c>
      <c r="N10" s="21">
        <f t="shared" si="2"/>
        <v>3.820960698689956</v>
      </c>
      <c r="O10" s="22">
        <f t="shared" si="3"/>
        <v>3.8043478260869565</v>
      </c>
      <c r="P10" s="22">
        <f t="shared" si="4"/>
        <v>2.8636363636363633</v>
      </c>
    </row>
    <row r="11" spans="1:16" ht="21" thickTop="1" thickBot="1">
      <c r="A11" s="25"/>
      <c r="B11" s="26"/>
      <c r="C11" s="8" t="s">
        <v>40</v>
      </c>
      <c r="D11" s="9">
        <v>76</v>
      </c>
      <c r="E11" s="4">
        <v>232000</v>
      </c>
      <c r="F11" s="4">
        <v>208800</v>
      </c>
      <c r="G11" s="4">
        <v>462000</v>
      </c>
      <c r="H11" s="4">
        <f>IF(D11&gt;=12,(IF(D11&gt;20,8,D11-12)*2+100)%*B12*16%,(100-(12-D11)*2)*B12%*16%)</f>
        <v>85004.800000000003</v>
      </c>
      <c r="I11" s="4">
        <f>IF(D11&gt;=12,(IF(D11&gt;20,8,D11-12)*2+100)%*B14*16%,(100-(12-D11)*2)*B14%*16%)</f>
        <v>102080</v>
      </c>
      <c r="J11" s="4">
        <f>IF(D11&gt;=12,(IF(D11&gt;30,18,D11-12)*3+100)%*B13*16%,(100-(12-D11)*3)*B13%*16%)</f>
        <v>170016</v>
      </c>
      <c r="K11" s="20">
        <f t="shared" si="0"/>
        <v>2.7292576419213974</v>
      </c>
      <c r="L11" s="20">
        <f t="shared" si="1"/>
        <v>2.7173913043478262</v>
      </c>
      <c r="M11" s="20">
        <f t="shared" si="5"/>
        <v>2.0454545454545454</v>
      </c>
      <c r="N11" s="21">
        <f t="shared" si="2"/>
        <v>3.820960698689956</v>
      </c>
      <c r="O11" s="22">
        <f t="shared" si="3"/>
        <v>3.8043478260869565</v>
      </c>
      <c r="P11" s="22">
        <f t="shared" si="4"/>
        <v>2.8636363636363633</v>
      </c>
    </row>
    <row r="12" spans="1:16" ht="20.25" thickTop="1">
      <c r="A12" s="6" t="s">
        <v>8</v>
      </c>
      <c r="B12" s="5">
        <v>458000</v>
      </c>
      <c r="C12" s="15"/>
      <c r="D12" s="10"/>
      <c r="E12" s="11" t="s">
        <v>20</v>
      </c>
      <c r="F12" s="11"/>
      <c r="G12" s="11" t="s">
        <v>23</v>
      </c>
      <c r="H12" s="11"/>
      <c r="I12" s="11"/>
      <c r="J12" s="11"/>
    </row>
    <row r="13" spans="1:16" ht="19.5">
      <c r="A13" s="6" t="s">
        <v>9</v>
      </c>
      <c r="B13" s="5">
        <v>690000</v>
      </c>
      <c r="C13" s="16"/>
      <c r="D13" s="13"/>
      <c r="E13" s="14" t="s">
        <v>21</v>
      </c>
      <c r="F13" s="14"/>
      <c r="G13" s="14" t="s">
        <v>22</v>
      </c>
      <c r="H13" s="14"/>
      <c r="I13" s="14"/>
      <c r="J13" s="14"/>
    </row>
    <row r="14" spans="1:16" ht="19.5">
      <c r="A14" s="6" t="s">
        <v>10</v>
      </c>
      <c r="B14" s="7">
        <v>550000</v>
      </c>
      <c r="C14" s="16"/>
      <c r="D14" s="13"/>
      <c r="E14" s="14"/>
      <c r="F14" s="14"/>
      <c r="G14" s="14"/>
      <c r="H14" s="14"/>
      <c r="I14" s="14"/>
      <c r="J14" s="14"/>
      <c r="K14">
        <v>14</v>
      </c>
    </row>
    <row r="15" spans="1:16" ht="19.5">
      <c r="A15" s="17" t="s">
        <v>16</v>
      </c>
      <c r="B15" s="17">
        <v>40</v>
      </c>
      <c r="C15" s="12"/>
      <c r="D15" s="13"/>
      <c r="E15" s="14"/>
      <c r="F15" s="14"/>
      <c r="G15" s="14"/>
      <c r="H15" s="14"/>
      <c r="I15" s="14"/>
      <c r="J15" s="14"/>
    </row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2"/>
  <sheetViews>
    <sheetView rightToLeft="1" topLeftCell="A18" workbookViewId="0">
      <selection activeCell="E6" sqref="E1:J1048576"/>
    </sheetView>
  </sheetViews>
  <sheetFormatPr defaultRowHeight="15"/>
  <cols>
    <col min="2" max="2" width="15.7109375" customWidth="1"/>
    <col min="3" max="3" width="6.140625" customWidth="1"/>
    <col min="4" max="4" width="7.140625" customWidth="1"/>
    <col min="5" max="10" width="8.42578125" customWidth="1"/>
    <col min="11" max="11" width="6.42578125" customWidth="1"/>
    <col min="12" max="13" width="6" customWidth="1"/>
    <col min="14" max="14" width="7.140625" customWidth="1"/>
    <col min="15" max="15" width="6.85546875" customWidth="1"/>
    <col min="16" max="16" width="7" customWidth="1"/>
  </cols>
  <sheetData>
    <row r="1" spans="1:16" s="29" customFormat="1" ht="91.5" customHeight="1" thickTop="1" thickBot="1">
      <c r="A1" s="30" t="s">
        <v>18</v>
      </c>
      <c r="B1" s="31"/>
      <c r="C1" s="1" t="s">
        <v>0</v>
      </c>
      <c r="D1" s="28" t="s">
        <v>1</v>
      </c>
      <c r="E1" s="2" t="s">
        <v>6</v>
      </c>
      <c r="F1" s="2" t="s">
        <v>7</v>
      </c>
      <c r="G1" s="2" t="s">
        <v>13</v>
      </c>
      <c r="H1" s="2" t="s">
        <v>2</v>
      </c>
      <c r="I1" s="2" t="s">
        <v>11</v>
      </c>
      <c r="J1" s="2" t="s">
        <v>3</v>
      </c>
      <c r="K1" s="3" t="s">
        <v>4</v>
      </c>
      <c r="L1" s="3" t="s">
        <v>5</v>
      </c>
      <c r="M1" s="3" t="s">
        <v>12</v>
      </c>
      <c r="N1" s="18" t="s">
        <v>14</v>
      </c>
      <c r="O1" s="19" t="s">
        <v>15</v>
      </c>
      <c r="P1" s="19" t="s">
        <v>17</v>
      </c>
    </row>
    <row r="2" spans="1:16" ht="53.25" thickTop="1" thickBot="1">
      <c r="A2" s="23">
        <v>7</v>
      </c>
      <c r="B2" s="24"/>
      <c r="C2" s="49" t="s">
        <v>75</v>
      </c>
      <c r="D2" s="9">
        <v>6</v>
      </c>
      <c r="E2" s="4">
        <f>E5*0.88</f>
        <v>162800</v>
      </c>
      <c r="F2" s="4">
        <f>F5*0.88</f>
        <v>146520</v>
      </c>
      <c r="G2" s="4">
        <f>G5*0.82</f>
        <v>227550</v>
      </c>
      <c r="H2" s="4">
        <f>IF(D2&gt;=12,(IF(D2&gt;20,8,D2-12)*2+100)%*B9*16%,(100-(12-D2)*2)*B9%*16%)</f>
        <v>73779.199999999997</v>
      </c>
      <c r="I2" s="4">
        <f>IF(D2&gt;=12,(IF(D2&gt;20,8,D2-12)*2+100)%*B11*16%,(100-(12-D2)*2)*B11%*16%)</f>
        <v>88704</v>
      </c>
      <c r="J2" s="4">
        <f>IF(D2&gt;=12,(IF(D2&gt;30,18,D2-12)*3+100)%*B10*16%,(100-(12-D2)*3)*B10%*16%)</f>
        <v>103648</v>
      </c>
      <c r="K2" s="20">
        <f t="shared" ref="K2:K8" si="0">E2/H2</f>
        <v>2.2065839694656488</v>
      </c>
      <c r="L2" s="20">
        <f t="shared" ref="L2:L8" si="1">G2/J2</f>
        <v>2.1954113924050631</v>
      </c>
      <c r="M2" s="20">
        <f>F2/I2</f>
        <v>1.6517857142857142</v>
      </c>
      <c r="N2" s="21">
        <f t="shared" ref="N2:P8" si="2">K2*(100+$B$12)%</f>
        <v>3.0892175572519083</v>
      </c>
      <c r="O2" s="22">
        <f t="shared" si="2"/>
        <v>3.073575949367088</v>
      </c>
      <c r="P2" s="22">
        <f t="shared" si="2"/>
        <v>2.3124999999999996</v>
      </c>
    </row>
    <row r="3" spans="1:16" ht="53.25" thickTop="1" thickBot="1">
      <c r="A3" s="25" t="s">
        <v>47</v>
      </c>
      <c r="B3" s="26"/>
      <c r="C3" s="49" t="s">
        <v>75</v>
      </c>
      <c r="D3" s="9">
        <v>8</v>
      </c>
      <c r="E3" s="4">
        <f>E5*0.92</f>
        <v>170200</v>
      </c>
      <c r="F3" s="4">
        <f>F5*0.92</f>
        <v>153180</v>
      </c>
      <c r="G3" s="4">
        <f>G5*0.88</f>
        <v>244200</v>
      </c>
      <c r="H3" s="4">
        <f>IF(D3&gt;=12,(IF(D3&gt;20,8,D3-12)*2+100)%*B9*16%,(100-(12-D3)*2)*B9%*16%)</f>
        <v>77132.800000000003</v>
      </c>
      <c r="I3" s="4">
        <f>IF(D3&gt;=12,(IF(D3&gt;20,8,D3-12)*2+100)%*B11*16%,(100-(12-D3)*2)*B11%*16%)</f>
        <v>92736</v>
      </c>
      <c r="J3" s="4">
        <f>IF(D3&gt;=12,(IF(D3&gt;30,18,D3-12)*3+100)%*B10*16%,(100-(12-D3)*3)*B10%*16%)</f>
        <v>111232</v>
      </c>
      <c r="K3" s="20">
        <f t="shared" si="0"/>
        <v>2.2065839694656488</v>
      </c>
      <c r="L3" s="20">
        <f t="shared" si="1"/>
        <v>2.1954113924050631</v>
      </c>
      <c r="M3" s="20">
        <f t="shared" ref="M3:M8" si="3">F3/I3</f>
        <v>1.6517857142857142</v>
      </c>
      <c r="N3" s="21">
        <f t="shared" si="2"/>
        <v>3.0892175572519083</v>
      </c>
      <c r="O3" s="22">
        <f t="shared" si="2"/>
        <v>3.073575949367088</v>
      </c>
      <c r="P3" s="22">
        <f t="shared" si="2"/>
        <v>2.3124999999999996</v>
      </c>
    </row>
    <row r="4" spans="1:16" ht="66.75" customHeight="1" thickTop="1" thickBot="1">
      <c r="A4" s="25"/>
      <c r="B4" s="26"/>
      <c r="C4" s="49" t="s">
        <v>87</v>
      </c>
      <c r="D4" s="9">
        <v>10</v>
      </c>
      <c r="E4" s="4">
        <f>E5*0.96</f>
        <v>177600</v>
      </c>
      <c r="F4" s="4">
        <f>F5*0.96</f>
        <v>159840</v>
      </c>
      <c r="G4" s="4">
        <f>G5*0.94</f>
        <v>260849.99999999997</v>
      </c>
      <c r="H4" s="4">
        <f>IF(D4&gt;=12,(IF(D4&gt;20,8,D4-12)*2+100)%*B9*16%,(100-(12-D4)*2)*B9%*16%)</f>
        <v>80486.400000000009</v>
      </c>
      <c r="I4" s="4">
        <f>IF(D4&gt;=12,(IF(D4&gt;20,8,D4-12)*2+100)%*B11*16%,(100-(12-D4)*2)*B11%*16%)</f>
        <v>96768</v>
      </c>
      <c r="J4" s="4">
        <f>IF(D4&gt;=12,(IF(D4&gt;30,18,D4-12)*3+100)%*B10*16%,(100-(12-D4)*3)*B10%*16%)</f>
        <v>118816</v>
      </c>
      <c r="K4" s="20">
        <f t="shared" si="0"/>
        <v>2.2065839694656488</v>
      </c>
      <c r="L4" s="20">
        <f t="shared" si="1"/>
        <v>2.1954113924050631</v>
      </c>
      <c r="M4" s="20">
        <f t="shared" si="3"/>
        <v>1.6517857142857142</v>
      </c>
      <c r="N4" s="21">
        <f t="shared" si="2"/>
        <v>3.0892175572519083</v>
      </c>
      <c r="O4" s="22">
        <f t="shared" si="2"/>
        <v>3.073575949367088</v>
      </c>
      <c r="P4" s="22">
        <f t="shared" si="2"/>
        <v>2.3124999999999996</v>
      </c>
    </row>
    <row r="5" spans="1:16" ht="54" customHeight="1" thickTop="1" thickBot="1">
      <c r="A5" s="25"/>
      <c r="B5" s="26"/>
      <c r="C5" s="49" t="s">
        <v>43</v>
      </c>
      <c r="D5" s="9">
        <v>12</v>
      </c>
      <c r="E5" s="4">
        <v>185000</v>
      </c>
      <c r="F5" s="4">
        <v>166500</v>
      </c>
      <c r="G5" s="4">
        <v>277500</v>
      </c>
      <c r="H5" s="4">
        <f>IF(D5&gt;=12,(IF(D5&gt;20,8,D5-12)*2+100)%*B9*16%,(100-(12-D5)*2)*B9%*16%)</f>
        <v>83840</v>
      </c>
      <c r="I5" s="4">
        <f>IF(D5&gt;=12,(IF(D5&gt;20,8,D5-12)*2+100)%*B11*16%,(100-(12-D5)*2)*B11%*16%)</f>
        <v>100800</v>
      </c>
      <c r="J5" s="4">
        <f>IF(D5&gt;=12,(IF(D5&gt;30,18,D5-12)*3+100)%*B10*16%,(100-(12-D5)*3)*B10%*16%)</f>
        <v>126400</v>
      </c>
      <c r="K5" s="20">
        <f t="shared" si="0"/>
        <v>2.2065839694656488</v>
      </c>
      <c r="L5" s="20">
        <f t="shared" si="1"/>
        <v>2.1954113924050631</v>
      </c>
      <c r="M5" s="20">
        <f t="shared" si="3"/>
        <v>1.6517857142857142</v>
      </c>
      <c r="N5" s="21">
        <f t="shared" si="2"/>
        <v>3.0892175572519083</v>
      </c>
      <c r="O5" s="22">
        <f t="shared" si="2"/>
        <v>3.073575949367088</v>
      </c>
      <c r="P5" s="22">
        <f t="shared" si="2"/>
        <v>2.3124999999999996</v>
      </c>
    </row>
    <row r="6" spans="1:16" ht="65.25" customHeight="1" thickTop="1" thickBot="1">
      <c r="A6" s="25"/>
      <c r="B6" s="26"/>
      <c r="C6" s="49" t="s">
        <v>44</v>
      </c>
      <c r="D6" s="9">
        <v>16</v>
      </c>
      <c r="E6" s="4">
        <f>E5*1.08</f>
        <v>199800</v>
      </c>
      <c r="F6" s="4">
        <f>F5*1.08</f>
        <v>179820</v>
      </c>
      <c r="G6" s="4">
        <f>G5*1.08</f>
        <v>299700</v>
      </c>
      <c r="H6" s="4">
        <f>IF(D6&gt;=12,(IF(D6&gt;20,8,D6-12)*2+100)%*B9*16%,(100-(12-D6)*2)*B9%*16%)</f>
        <v>90547.199999999997</v>
      </c>
      <c r="I6" s="4">
        <f>IF(D6&gt;=12,(IF(D6&gt;20,8,D6-12)*2+100)%*B11*16%,(100-(12-D6)*2)*B11%*16%)</f>
        <v>108864</v>
      </c>
      <c r="J6" s="4">
        <f>IF(D6&gt;=12,(IF(D6&gt;30,18,D6-12)*3+100)%*B10*16%,(100-(12-D6)*3)*B10%*16%)</f>
        <v>141568.00000000003</v>
      </c>
      <c r="K6" s="20">
        <f t="shared" si="0"/>
        <v>2.2065839694656488</v>
      </c>
      <c r="L6" s="20">
        <f t="shared" si="1"/>
        <v>2.1170038426763105</v>
      </c>
      <c r="M6" s="20">
        <f t="shared" si="3"/>
        <v>1.6517857142857142</v>
      </c>
      <c r="N6" s="21">
        <f t="shared" si="2"/>
        <v>3.0892175572519083</v>
      </c>
      <c r="O6" s="22">
        <f t="shared" si="2"/>
        <v>2.9638053797468347</v>
      </c>
      <c r="P6" s="22">
        <f t="shared" si="2"/>
        <v>2.3124999999999996</v>
      </c>
    </row>
    <row r="7" spans="1:16" ht="53.25" thickTop="1" thickBot="1">
      <c r="A7" s="25"/>
      <c r="B7" s="26"/>
      <c r="C7" s="49" t="s">
        <v>45</v>
      </c>
      <c r="D7" s="9">
        <v>20</v>
      </c>
      <c r="E7" s="4">
        <f>E5*1.16</f>
        <v>214599.99999999997</v>
      </c>
      <c r="F7" s="4">
        <f>F5*1.16</f>
        <v>193140</v>
      </c>
      <c r="G7" s="4">
        <f>G5*1.24</f>
        <v>344100</v>
      </c>
      <c r="H7" s="4">
        <f>IF(D7&gt;=12,(IF(D7&gt;20,8,D7-12)*2+100)%*B9*16%,(100-(12-D7)*2)*B9%*16%)</f>
        <v>97254.400000000009</v>
      </c>
      <c r="I7" s="4">
        <f>IF(D7&gt;=12,(IF(D7&gt;20,8,D7-12)*2+100)%*B11*16%,(100-(12-D7)*2)*B11%*16%)</f>
        <v>116928</v>
      </c>
      <c r="J7" s="4">
        <f>IF(D7&gt;=12,(IF(D7&gt;30,18,D7-12)*3+100)%*B10*16%,(100-(12-D7)*3)*B10%*16%)</f>
        <v>156736</v>
      </c>
      <c r="K7" s="20">
        <f t="shared" si="0"/>
        <v>2.2065839694656484</v>
      </c>
      <c r="L7" s="20">
        <f t="shared" si="1"/>
        <v>2.1954113924050631</v>
      </c>
      <c r="M7" s="20">
        <f t="shared" si="3"/>
        <v>1.6517857142857142</v>
      </c>
      <c r="N7" s="21">
        <f t="shared" si="2"/>
        <v>3.0892175572519074</v>
      </c>
      <c r="O7" s="22">
        <f t="shared" si="2"/>
        <v>3.073575949367088</v>
      </c>
      <c r="P7" s="22">
        <f t="shared" si="2"/>
        <v>2.3124999999999996</v>
      </c>
    </row>
    <row r="8" spans="1:16" ht="53.25" thickTop="1" thickBot="1">
      <c r="A8" s="25"/>
      <c r="B8" s="26"/>
      <c r="C8" s="49" t="s">
        <v>46</v>
      </c>
      <c r="D8" s="9">
        <v>76</v>
      </c>
      <c r="E8" s="4">
        <v>214600</v>
      </c>
      <c r="F8" s="4">
        <v>193140</v>
      </c>
      <c r="G8" s="4">
        <f>G5*1.54</f>
        <v>427350</v>
      </c>
      <c r="H8" s="4">
        <f>IF(D8&gt;=12,(IF(D8&gt;20,8,D8-12)*2+100)%*B9*16%,(100-(12-D8)*2)*B9%*16%)</f>
        <v>97254.400000000009</v>
      </c>
      <c r="I8" s="4">
        <f>IF(D8&gt;=12,(IF(D8&gt;20,8,D8-12)*2+100)%*B11*16%,(100-(12-D8)*2)*B11%*16%)</f>
        <v>116928</v>
      </c>
      <c r="J8" s="4">
        <f>IF(D8&gt;=12,(IF(D8&gt;30,18,D8-12)*3+100)%*B10*16%,(100-(12-D8)*3)*B10%*16%)</f>
        <v>194656</v>
      </c>
      <c r="K8" s="20">
        <f t="shared" si="0"/>
        <v>2.2065839694656488</v>
      </c>
      <c r="L8" s="20">
        <f t="shared" si="1"/>
        <v>2.1954113924050631</v>
      </c>
      <c r="M8" s="20">
        <f t="shared" si="3"/>
        <v>1.6517857142857142</v>
      </c>
      <c r="N8" s="21">
        <f t="shared" si="2"/>
        <v>3.0892175572519083</v>
      </c>
      <c r="O8" s="22">
        <f t="shared" si="2"/>
        <v>3.073575949367088</v>
      </c>
      <c r="P8" s="22">
        <f t="shared" si="2"/>
        <v>2.3124999999999996</v>
      </c>
    </row>
    <row r="9" spans="1:16" ht="20.25" thickTop="1">
      <c r="A9" s="6" t="s">
        <v>8</v>
      </c>
      <c r="B9" s="5">
        <v>524000</v>
      </c>
      <c r="C9" s="15"/>
      <c r="D9" s="10"/>
      <c r="E9" s="11" t="s">
        <v>20</v>
      </c>
      <c r="F9" s="11"/>
      <c r="G9" s="11" t="s">
        <v>23</v>
      </c>
      <c r="H9" s="11"/>
      <c r="I9" s="11"/>
      <c r="J9" s="11"/>
    </row>
    <row r="10" spans="1:16" ht="19.5">
      <c r="A10" s="6" t="s">
        <v>9</v>
      </c>
      <c r="B10" s="5">
        <v>790000</v>
      </c>
      <c r="C10" s="16"/>
      <c r="D10" s="13"/>
      <c r="E10" s="14" t="s">
        <v>21</v>
      </c>
      <c r="F10" s="14"/>
      <c r="G10" s="14" t="s">
        <v>22</v>
      </c>
      <c r="H10" s="14"/>
      <c r="I10" s="14"/>
      <c r="J10" s="14"/>
    </row>
    <row r="11" spans="1:16" ht="19.5">
      <c r="A11" s="6" t="s">
        <v>10</v>
      </c>
      <c r="B11" s="7">
        <v>630000</v>
      </c>
      <c r="C11" s="16"/>
      <c r="D11" s="13"/>
      <c r="E11" s="14"/>
      <c r="F11" s="14"/>
      <c r="G11" s="14"/>
      <c r="H11" s="14"/>
      <c r="I11" s="14"/>
      <c r="J11" s="14"/>
      <c r="K11">
        <v>15</v>
      </c>
    </row>
    <row r="12" spans="1:16" ht="19.5">
      <c r="A12" s="17" t="s">
        <v>16</v>
      </c>
      <c r="B12" s="17">
        <v>40</v>
      </c>
      <c r="C12" s="12"/>
      <c r="D12" s="13"/>
      <c r="E12" s="14"/>
      <c r="F12" s="14"/>
      <c r="G12" s="14"/>
      <c r="H12" s="14"/>
      <c r="I12" s="14"/>
      <c r="J12" s="14"/>
    </row>
  </sheetData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5"/>
  <sheetViews>
    <sheetView rightToLeft="1" workbookViewId="0">
      <selection activeCell="E1" sqref="E1:J1048576"/>
    </sheetView>
  </sheetViews>
  <sheetFormatPr defaultRowHeight="15"/>
  <cols>
    <col min="2" max="2" width="15.28515625" customWidth="1"/>
    <col min="4" max="4" width="5.85546875" customWidth="1"/>
    <col min="5" max="10" width="9.5703125" customWidth="1"/>
    <col min="11" max="12" width="6.85546875" customWidth="1"/>
    <col min="13" max="13" width="7.140625" customWidth="1"/>
  </cols>
  <sheetData>
    <row r="1" spans="1:16" s="29" customFormat="1" ht="91.5" customHeight="1" thickTop="1" thickBot="1">
      <c r="A1" s="30" t="s">
        <v>18</v>
      </c>
      <c r="B1" s="31"/>
      <c r="C1" s="1" t="s">
        <v>0</v>
      </c>
      <c r="D1" s="28" t="s">
        <v>1</v>
      </c>
      <c r="E1" s="2" t="s">
        <v>6</v>
      </c>
      <c r="F1" s="2" t="s">
        <v>7</v>
      </c>
      <c r="G1" s="2" t="s">
        <v>13</v>
      </c>
      <c r="H1" s="2" t="s">
        <v>2</v>
      </c>
      <c r="I1" s="2" t="s">
        <v>11</v>
      </c>
      <c r="J1" s="2" t="s">
        <v>3</v>
      </c>
      <c r="K1" s="3" t="s">
        <v>4</v>
      </c>
      <c r="L1" s="3" t="s">
        <v>5</v>
      </c>
      <c r="M1" s="3" t="s">
        <v>12</v>
      </c>
      <c r="N1" s="18" t="s">
        <v>14</v>
      </c>
      <c r="O1" s="19" t="s">
        <v>15</v>
      </c>
      <c r="P1" s="19" t="s">
        <v>17</v>
      </c>
    </row>
    <row r="2" spans="1:16" ht="40.5" thickTop="1" thickBot="1">
      <c r="A2" s="23">
        <v>8</v>
      </c>
      <c r="B2" s="24"/>
      <c r="C2" s="8" t="s">
        <v>49</v>
      </c>
      <c r="D2" s="9">
        <v>6</v>
      </c>
      <c r="E2" s="4">
        <f>E5*0.88</f>
        <v>136400</v>
      </c>
      <c r="F2" s="4">
        <f>F5*0.88</f>
        <v>122760</v>
      </c>
      <c r="G2" s="4">
        <f>G5*0.82</f>
        <v>190650</v>
      </c>
      <c r="H2" s="4">
        <f>IF(D2&gt;=12,(IF(D2&gt;20,8,D2-12)*2+100)%*B12*16%,(100-(12-D2)*2)*B12%*16%)</f>
        <v>46041.599999999999</v>
      </c>
      <c r="I2" s="4">
        <f>IF(D2&gt;=12,(IF(D2&gt;20,8,D2-12)*2+100)%*B14*16%,(100-(12-D2)*2)*B14%*16%)</f>
        <v>54912</v>
      </c>
      <c r="J2" s="4">
        <f>IF(D2&gt;=12,(IF(D2&gt;30,18,D2-12)*3+100)%*B13*16%,(100-(12-D2)*3)*B13%*16%)</f>
        <v>64944</v>
      </c>
      <c r="K2" s="20">
        <f t="shared" ref="K2:K11" si="0">E2/H2</f>
        <v>2.9625382262996944</v>
      </c>
      <c r="L2" s="20">
        <f t="shared" ref="L2:L11" si="1">G2/J2</f>
        <v>2.9356060606060606</v>
      </c>
      <c r="M2" s="20">
        <f>F2/I2</f>
        <v>2.2355769230769229</v>
      </c>
      <c r="N2" s="21">
        <f t="shared" ref="N2:N11" si="2">K2*(100+$B$15)%</f>
        <v>4.1475535168195723</v>
      </c>
      <c r="O2" s="22">
        <f t="shared" ref="O2:O11" si="3">L2*(100+$B$15)%</f>
        <v>4.1098484848484844</v>
      </c>
      <c r="P2" s="22">
        <f t="shared" ref="P2:P11" si="4">M2*(100+$B$15)%</f>
        <v>3.1298076923076921</v>
      </c>
    </row>
    <row r="3" spans="1:16" ht="40.5" thickTop="1" thickBot="1">
      <c r="A3" s="25"/>
      <c r="B3" s="26"/>
      <c r="C3" s="8" t="s">
        <v>49</v>
      </c>
      <c r="D3" s="9">
        <v>8</v>
      </c>
      <c r="E3" s="4">
        <f>E5*0.92</f>
        <v>142600</v>
      </c>
      <c r="F3" s="4">
        <f>F5*0.92</f>
        <v>128340</v>
      </c>
      <c r="G3" s="4">
        <f>G5*0.88</f>
        <v>204600</v>
      </c>
      <c r="H3" s="4">
        <f>IF(D3&gt;=12,(IF(D3&gt;20,8,D3-12)*2+100)%*B12*16%,(100-(12-D3)*2)*B12%*16%)</f>
        <v>48134.400000000001</v>
      </c>
      <c r="I3" s="4">
        <f>IF(D3&gt;=12,(IF(D3&gt;20,8,D3-12)*2+100)%*B14*16%,(100-(12-D3)*2)*B14%*16%)</f>
        <v>57408</v>
      </c>
      <c r="J3" s="4">
        <f>IF(D3&gt;=12,(IF(D3&gt;30,18,D3-12)*3+100)%*B13*16%,(100-(12-D3)*3)*B13%*16%)</f>
        <v>69696</v>
      </c>
      <c r="K3" s="20">
        <f t="shared" si="0"/>
        <v>2.962538226299694</v>
      </c>
      <c r="L3" s="20">
        <f t="shared" si="1"/>
        <v>2.9356060606060606</v>
      </c>
      <c r="M3" s="20">
        <f t="shared" ref="M3:M11" si="5">F3/I3</f>
        <v>2.2355769230769229</v>
      </c>
      <c r="N3" s="21">
        <f t="shared" si="2"/>
        <v>4.1475535168195714</v>
      </c>
      <c r="O3" s="22">
        <f t="shared" si="3"/>
        <v>4.1098484848484844</v>
      </c>
      <c r="P3" s="22">
        <f t="shared" si="4"/>
        <v>3.1298076923076921</v>
      </c>
    </row>
    <row r="4" spans="1:16" ht="40.5" thickTop="1" thickBot="1">
      <c r="A4" s="25" t="s">
        <v>48</v>
      </c>
      <c r="B4" s="26"/>
      <c r="C4" s="8" t="s">
        <v>49</v>
      </c>
      <c r="D4" s="9">
        <v>10</v>
      </c>
      <c r="E4" s="4">
        <f>E5*0.96</f>
        <v>148800</v>
      </c>
      <c r="F4" s="4">
        <f>F5*0.96</f>
        <v>133920</v>
      </c>
      <c r="G4" s="4">
        <f>G5*0.94</f>
        <v>218550</v>
      </c>
      <c r="H4" s="4">
        <f>IF(D4&gt;=12,(IF(D4&gt;20,8,D4-12)*2+100)%*B12*16%,(100-(12-D4)*2)*B12%*16%)</f>
        <v>50227.200000000004</v>
      </c>
      <c r="I4" s="4">
        <f>IF(D4&gt;=12,(IF(D4&gt;20,8,D4-12)*2+100)%*B14*16%,(100-(12-D4)*2)*B14%*16%)</f>
        <v>59904</v>
      </c>
      <c r="J4" s="4">
        <f>IF(D4&gt;=12,(IF(D4&gt;30,18,D4-12)*3+100)%*B13*16%,(100-(12-D4)*3)*B13%*16%)</f>
        <v>74448</v>
      </c>
      <c r="K4" s="20">
        <f t="shared" si="0"/>
        <v>2.962538226299694</v>
      </c>
      <c r="L4" s="20">
        <f t="shared" si="1"/>
        <v>2.9356060606060606</v>
      </c>
      <c r="M4" s="20">
        <f t="shared" si="5"/>
        <v>2.2355769230769229</v>
      </c>
      <c r="N4" s="21">
        <f t="shared" si="2"/>
        <v>4.1475535168195714</v>
      </c>
      <c r="O4" s="22">
        <f t="shared" si="3"/>
        <v>4.1098484848484844</v>
      </c>
      <c r="P4" s="22">
        <f t="shared" si="4"/>
        <v>3.1298076923076921</v>
      </c>
    </row>
    <row r="5" spans="1:16" ht="40.5" thickTop="1" thickBot="1">
      <c r="A5" s="25"/>
      <c r="B5" s="26"/>
      <c r="C5" s="8" t="s">
        <v>76</v>
      </c>
      <c r="D5" s="9">
        <v>12</v>
      </c>
      <c r="E5" s="4">
        <v>155000</v>
      </c>
      <c r="F5" s="4">
        <v>139500</v>
      </c>
      <c r="G5" s="4">
        <v>232500</v>
      </c>
      <c r="H5" s="4">
        <f>IF(D5&gt;=12,(IF(D5&gt;20,8,D5-12)*2+100)%*B12*16%,(100-(12-D5)*2)*B12%*16%)</f>
        <v>52320</v>
      </c>
      <c r="I5" s="4">
        <f>IF(D5&gt;=12,(IF(D5&gt;20,8,D5-12)*2+100)%*B14*16%,(100-(12-D5)*2)*B14%*16%)</f>
        <v>62400</v>
      </c>
      <c r="J5" s="4">
        <f>IF(D5&gt;=12,(IF(D5&gt;30,18,D5-12)*3+100)%*B13*16%,(100-(12-D5)*3)*B13%*16%)</f>
        <v>79200</v>
      </c>
      <c r="K5" s="20">
        <f t="shared" si="0"/>
        <v>2.962538226299694</v>
      </c>
      <c r="L5" s="20">
        <f t="shared" si="1"/>
        <v>2.9356060606060606</v>
      </c>
      <c r="M5" s="20">
        <f t="shared" si="5"/>
        <v>2.2355769230769229</v>
      </c>
      <c r="N5" s="21">
        <f t="shared" si="2"/>
        <v>4.1475535168195714</v>
      </c>
      <c r="O5" s="22">
        <f t="shared" si="3"/>
        <v>4.1098484848484844</v>
      </c>
      <c r="P5" s="22">
        <f t="shared" si="4"/>
        <v>3.1298076923076921</v>
      </c>
    </row>
    <row r="6" spans="1:16" ht="40.5" thickTop="1" thickBot="1">
      <c r="A6" s="25"/>
      <c r="B6" s="26"/>
      <c r="C6" s="8" t="s">
        <v>77</v>
      </c>
      <c r="D6" s="9">
        <v>14</v>
      </c>
      <c r="E6" s="4">
        <f>E5*1.04</f>
        <v>161200</v>
      </c>
      <c r="F6" s="4">
        <f>F5*1.04</f>
        <v>145080</v>
      </c>
      <c r="G6" s="4">
        <f>G5*1.06</f>
        <v>246450</v>
      </c>
      <c r="H6" s="4">
        <f>IF(D6&gt;=12,(IF(D6&gt;20,8,D6-12)*2+100)%*B12*16%,(100-(12-D6)*2)*B12%*16%)</f>
        <v>54412.800000000003</v>
      </c>
      <c r="I6" s="4">
        <f>IF(D6&gt;=12,(IF(D6&gt;20,8,D6-12)*2+100)%*B14*16%,(100-(12-D6)*2)*B14%*16%)</f>
        <v>64896</v>
      </c>
      <c r="J6" s="4">
        <f>IF(D6&gt;=12,(IF(D6&gt;30,18,D6-12)*3+100)%*B13*16%,(100-(12-D6)*3)*B13%*16%)</f>
        <v>83952</v>
      </c>
      <c r="K6" s="20">
        <f t="shared" si="0"/>
        <v>2.962538226299694</v>
      </c>
      <c r="L6" s="20">
        <f t="shared" si="1"/>
        <v>2.9356060606060606</v>
      </c>
      <c r="M6" s="20">
        <f t="shared" si="5"/>
        <v>2.2355769230769229</v>
      </c>
      <c r="N6" s="21">
        <f t="shared" si="2"/>
        <v>4.1475535168195714</v>
      </c>
      <c r="O6" s="22">
        <f t="shared" si="3"/>
        <v>4.1098484848484844</v>
      </c>
      <c r="P6" s="22">
        <f t="shared" si="4"/>
        <v>3.1298076923076921</v>
      </c>
    </row>
    <row r="7" spans="1:16" ht="21" thickTop="1" thickBot="1">
      <c r="A7" s="25"/>
      <c r="B7" s="26"/>
      <c r="C7" s="8" t="s">
        <v>50</v>
      </c>
      <c r="D7" s="9">
        <v>16</v>
      </c>
      <c r="E7" s="4">
        <f>E5*1.08</f>
        <v>167400</v>
      </c>
      <c r="F7" s="4">
        <f>F5*1.08</f>
        <v>150660</v>
      </c>
      <c r="G7" s="4">
        <f>G5*1.12</f>
        <v>260400.00000000003</v>
      </c>
      <c r="H7" s="4">
        <f>IF(D7&gt;=12,(IF(D7&gt;20,8,D7-12)*2+100)%*B12*16%,(100-(12-D7)*2)*B12%*16%)</f>
        <v>56505.599999999999</v>
      </c>
      <c r="I7" s="4">
        <f>IF(D7&gt;=12,(IF(D7&gt;20,8,D7-12)*2+100)%*B14*16%,(100-(12-D7)*2)*B14%*16%)</f>
        <v>67392</v>
      </c>
      <c r="J7" s="4">
        <f>IF(D7&gt;=12,(IF(D7&gt;30,18,D7-12)*3+100)%*B13*16%,(100-(12-D7)*3)*B13%*16%)</f>
        <v>88704</v>
      </c>
      <c r="K7" s="20">
        <f t="shared" si="0"/>
        <v>2.9625382262996944</v>
      </c>
      <c r="L7" s="20">
        <f t="shared" si="1"/>
        <v>2.935606060606061</v>
      </c>
      <c r="M7" s="20">
        <f t="shared" si="5"/>
        <v>2.2355769230769229</v>
      </c>
      <c r="N7" s="21">
        <f t="shared" si="2"/>
        <v>4.1475535168195723</v>
      </c>
      <c r="O7" s="22">
        <f t="shared" si="3"/>
        <v>4.1098484848484853</v>
      </c>
      <c r="P7" s="22">
        <f t="shared" si="4"/>
        <v>3.1298076923076921</v>
      </c>
    </row>
    <row r="8" spans="1:16" ht="40.5" thickTop="1" thickBot="1">
      <c r="A8" s="25"/>
      <c r="B8" s="26"/>
      <c r="C8" s="8" t="s">
        <v>49</v>
      </c>
      <c r="D8" s="9">
        <v>18</v>
      </c>
      <c r="E8" s="4">
        <f>E5*1.12</f>
        <v>173600.00000000003</v>
      </c>
      <c r="F8" s="4">
        <f>F5*1.12</f>
        <v>156240.00000000003</v>
      </c>
      <c r="G8" s="4">
        <f>G5*1.18</f>
        <v>274350</v>
      </c>
      <c r="H8" s="4">
        <f>IF(D8&gt;=12,(IF(D8&gt;20,8,D8-12)*2+100)%*B12*16%,(100-(12-D8)*2)*B12%*16%)</f>
        <v>58598.400000000009</v>
      </c>
      <c r="I8" s="4">
        <f>IF(D8&gt;=12,(IF(D8&gt;20,8,D8-12)*2+100)%*B14*16%,(100-(12-D8)*2)*B14%*16%)</f>
        <v>69888.000000000015</v>
      </c>
      <c r="J8" s="4">
        <f>IF(D8&gt;=12,(IF(D8&gt;30,18,D8-12)*3+100)%*B13*16%,(100-(12-D8)*3)*B13%*16%)</f>
        <v>93456</v>
      </c>
      <c r="K8" s="20">
        <f t="shared" si="0"/>
        <v>2.9625382262996944</v>
      </c>
      <c r="L8" s="20">
        <f t="shared" si="1"/>
        <v>2.9356060606060606</v>
      </c>
      <c r="M8" s="20">
        <f t="shared" si="5"/>
        <v>2.2355769230769229</v>
      </c>
      <c r="N8" s="21">
        <f t="shared" si="2"/>
        <v>4.1475535168195723</v>
      </c>
      <c r="O8" s="22">
        <f t="shared" si="3"/>
        <v>4.1098484848484844</v>
      </c>
      <c r="P8" s="22">
        <f t="shared" si="4"/>
        <v>3.1298076923076921</v>
      </c>
    </row>
    <row r="9" spans="1:16" ht="21" thickTop="1" thickBot="1">
      <c r="A9" s="25"/>
      <c r="B9" s="26"/>
      <c r="C9" s="8"/>
      <c r="D9" s="9">
        <v>20</v>
      </c>
      <c r="E9" s="4">
        <f>E5*1.16</f>
        <v>179800</v>
      </c>
      <c r="F9" s="4">
        <f>F5*1.16</f>
        <v>161820</v>
      </c>
      <c r="G9" s="4">
        <f>G5*1.24</f>
        <v>288300</v>
      </c>
      <c r="H9" s="4">
        <f>IF(D9&gt;=12,(IF(D9&gt;20,8,D9-12)*2+100)%*B12*16%,(100-(12-D9)*2)*B12%*16%)</f>
        <v>60691.200000000004</v>
      </c>
      <c r="I9" s="4">
        <f>IF(D9&gt;=12,(IF(D9&gt;20,8,D9-12)*2+100)%*B14*16%,(100-(12-D9)*2)*B14%*16%)</f>
        <v>72383.999999999985</v>
      </c>
      <c r="J9" s="4">
        <f>IF(D9&gt;=12,(IF(D9&gt;30,18,D9-12)*3+100)%*B13*16%,(100-(12-D9)*3)*B13%*16%)</f>
        <v>98208</v>
      </c>
      <c r="K9" s="20">
        <f t="shared" si="0"/>
        <v>2.962538226299694</v>
      </c>
      <c r="L9" s="20">
        <f t="shared" si="1"/>
        <v>2.9356060606060606</v>
      </c>
      <c r="M9" s="20">
        <f t="shared" si="5"/>
        <v>2.2355769230769234</v>
      </c>
      <c r="N9" s="21">
        <f t="shared" si="2"/>
        <v>4.1475535168195714</v>
      </c>
      <c r="O9" s="22">
        <f t="shared" si="3"/>
        <v>4.1098484848484844</v>
      </c>
      <c r="P9" s="22">
        <f t="shared" si="4"/>
        <v>3.1298076923076925</v>
      </c>
    </row>
    <row r="10" spans="1:16" ht="21" thickTop="1" thickBot="1">
      <c r="A10" s="25"/>
      <c r="B10" s="26"/>
      <c r="C10" s="8"/>
      <c r="D10" s="9">
        <v>24</v>
      </c>
      <c r="E10" s="4">
        <v>179800</v>
      </c>
      <c r="F10" s="4">
        <v>840000</v>
      </c>
      <c r="G10" s="4">
        <f>G5*1.36</f>
        <v>316200</v>
      </c>
      <c r="H10" s="4">
        <f>IF(D10&gt;=12,(IF(D10&gt;20,8,D10-12)*2+100)%*B12*16%,(100-(12-D10)*2)*B12%*16%)</f>
        <v>60691.200000000004</v>
      </c>
      <c r="I10" s="4">
        <f>IF(D10&gt;=12,(IF(D10&gt;20,8,D10-12)*2+100)%*B14*16%,(100-(12-D10)*2)*B14%*16%)</f>
        <v>72383.999999999985</v>
      </c>
      <c r="J10" s="4">
        <f>IF(D10&gt;=12,(IF(D10&gt;30,18,D10-12)*3+100)%*B13*16%,(100-(12-D10)*3)*B13%*16%)</f>
        <v>107712</v>
      </c>
      <c r="K10" s="20">
        <f t="shared" si="0"/>
        <v>2.962538226299694</v>
      </c>
      <c r="L10" s="20">
        <f t="shared" si="1"/>
        <v>2.9356060606060606</v>
      </c>
      <c r="M10" s="20">
        <f t="shared" si="5"/>
        <v>11.604774535809021</v>
      </c>
      <c r="N10" s="21">
        <f t="shared" si="2"/>
        <v>4.1475535168195714</v>
      </c>
      <c r="O10" s="22">
        <f t="shared" si="3"/>
        <v>4.1098484848484844</v>
      </c>
      <c r="P10" s="22">
        <f t="shared" si="4"/>
        <v>16.246684350132629</v>
      </c>
    </row>
    <row r="11" spans="1:16" ht="21" thickTop="1" thickBot="1">
      <c r="A11" s="25"/>
      <c r="B11" s="26"/>
      <c r="C11" s="8" t="s">
        <v>35</v>
      </c>
      <c r="D11" s="9">
        <v>30</v>
      </c>
      <c r="E11" s="4">
        <v>179800</v>
      </c>
      <c r="F11" s="4">
        <v>840000</v>
      </c>
      <c r="G11" s="4">
        <f>G5*1.54</f>
        <v>358050</v>
      </c>
      <c r="H11" s="4">
        <f>IF(D11&gt;=12,(IF(D11&gt;20,8,D11-12)*2+100)%*B12*16%,(100-(12-D11)*2)*B12%*16%)</f>
        <v>60691.200000000004</v>
      </c>
      <c r="I11" s="4">
        <f>IF(D11&gt;=12,(IF(D11&gt;20,8,D11-12)*2+100)%*B14*16%,(100-(12-D11)*2)*B14%*16%)</f>
        <v>72383.999999999985</v>
      </c>
      <c r="J11" s="4">
        <f>IF(D11&gt;=12,(IF(D11&gt;30,18,D11-12)*3+100)%*B13*16%,(100-(12-D11)*3)*B13%*16%)</f>
        <v>121968</v>
      </c>
      <c r="K11" s="20">
        <f t="shared" si="0"/>
        <v>2.962538226299694</v>
      </c>
      <c r="L11" s="20">
        <f t="shared" si="1"/>
        <v>2.9356060606060606</v>
      </c>
      <c r="M11" s="20">
        <f t="shared" si="5"/>
        <v>11.604774535809021</v>
      </c>
      <c r="N11" s="21">
        <f t="shared" si="2"/>
        <v>4.1475535168195714</v>
      </c>
      <c r="O11" s="22">
        <f t="shared" si="3"/>
        <v>4.1098484848484844</v>
      </c>
      <c r="P11" s="22">
        <f t="shared" si="4"/>
        <v>16.246684350132629</v>
      </c>
    </row>
    <row r="12" spans="1:16" ht="20.25" thickTop="1">
      <c r="A12" s="6" t="s">
        <v>8</v>
      </c>
      <c r="B12" s="5">
        <v>327000</v>
      </c>
      <c r="C12" s="15"/>
      <c r="D12" s="10"/>
      <c r="E12" s="11" t="s">
        <v>20</v>
      </c>
      <c r="F12" s="11"/>
      <c r="G12" s="11" t="s">
        <v>23</v>
      </c>
      <c r="H12" s="11"/>
      <c r="I12" s="11"/>
      <c r="J12" s="11"/>
    </row>
    <row r="13" spans="1:16" ht="19.5">
      <c r="A13" s="6" t="s">
        <v>9</v>
      </c>
      <c r="B13" s="5">
        <v>495000</v>
      </c>
      <c r="C13" s="16"/>
      <c r="D13" s="13"/>
      <c r="E13" s="14" t="s">
        <v>21</v>
      </c>
      <c r="F13" s="14"/>
      <c r="G13" s="14" t="s">
        <v>22</v>
      </c>
      <c r="H13" s="14"/>
      <c r="I13" s="14"/>
      <c r="J13" s="14"/>
    </row>
    <row r="14" spans="1:16" ht="19.5">
      <c r="A14" s="6" t="s">
        <v>10</v>
      </c>
      <c r="B14" s="7">
        <v>390000</v>
      </c>
      <c r="C14" s="16"/>
      <c r="D14" s="13"/>
      <c r="E14" s="14"/>
      <c r="F14" s="14"/>
      <c r="G14" s="14"/>
      <c r="H14" s="14"/>
      <c r="I14" s="14"/>
      <c r="J14" s="14"/>
      <c r="L14">
        <v>16</v>
      </c>
    </row>
    <row r="15" spans="1:16" ht="19.5">
      <c r="A15" s="17" t="s">
        <v>16</v>
      </c>
      <c r="B15" s="17">
        <v>40</v>
      </c>
      <c r="C15" s="12"/>
      <c r="D15" s="13"/>
      <c r="E15" s="14"/>
      <c r="F15" s="14"/>
      <c r="G15" s="14"/>
      <c r="H15" s="14"/>
      <c r="I15" s="14"/>
      <c r="J15" s="14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6"/>
  <sheetViews>
    <sheetView rightToLeft="1" topLeftCell="A19" workbookViewId="0">
      <selection activeCell="E7" sqref="E1:J1048576"/>
    </sheetView>
  </sheetViews>
  <sheetFormatPr defaultRowHeight="15"/>
  <cols>
    <col min="2" max="2" width="13.5703125" customWidth="1"/>
    <col min="4" max="4" width="6.85546875" customWidth="1"/>
    <col min="5" max="10" width="8.7109375" customWidth="1"/>
    <col min="11" max="11" width="7.28515625" customWidth="1"/>
    <col min="12" max="12" width="6.5703125" customWidth="1"/>
    <col min="13" max="13" width="7.140625" customWidth="1"/>
  </cols>
  <sheetData>
    <row r="1" spans="1:16" s="29" customFormat="1" ht="91.5" customHeight="1" thickTop="1" thickBot="1">
      <c r="A1" s="30" t="s">
        <v>18</v>
      </c>
      <c r="B1" s="31"/>
      <c r="C1" s="1" t="s">
        <v>0</v>
      </c>
      <c r="D1" s="28" t="s">
        <v>1</v>
      </c>
      <c r="E1" s="2" t="s">
        <v>6</v>
      </c>
      <c r="F1" s="2" t="s">
        <v>7</v>
      </c>
      <c r="G1" s="2" t="s">
        <v>13</v>
      </c>
      <c r="H1" s="2" t="s">
        <v>2</v>
      </c>
      <c r="I1" s="2" t="s">
        <v>11</v>
      </c>
      <c r="J1" s="2" t="s">
        <v>3</v>
      </c>
      <c r="K1" s="3" t="s">
        <v>4</v>
      </c>
      <c r="L1" s="3" t="s">
        <v>5</v>
      </c>
      <c r="M1" s="3" t="s">
        <v>12</v>
      </c>
      <c r="N1" s="18" t="s">
        <v>14</v>
      </c>
      <c r="O1" s="19" t="s">
        <v>15</v>
      </c>
      <c r="P1" s="19" t="s">
        <v>17</v>
      </c>
    </row>
    <row r="2" spans="1:16" ht="36.75" customHeight="1" thickTop="1" thickBot="1">
      <c r="A2" s="23">
        <v>9</v>
      </c>
      <c r="B2" s="24"/>
      <c r="C2" s="8" t="s">
        <v>56</v>
      </c>
      <c r="D2" s="9">
        <v>6</v>
      </c>
      <c r="E2" s="4">
        <f>E5*0.88</f>
        <v>146960</v>
      </c>
      <c r="F2" s="4">
        <f>F5*0.88</f>
        <v>132264</v>
      </c>
      <c r="G2" s="4">
        <f>G5*0.82</f>
        <v>205410</v>
      </c>
      <c r="H2" s="4">
        <f>IF(D2&gt;=12,(IF(D2&gt;20,8,D2-12)*2+100)%*B13*16%,(100-(12-D2)*2)*B13%*16%)</f>
        <v>46041.599999999999</v>
      </c>
      <c r="I2" s="4">
        <f>IF(D2&gt;=12,(IF(D2&gt;20,8,D2-12)*2+100)%*B15*16%,(100-(12-D2)*2)*B15%*16%)</f>
        <v>54912</v>
      </c>
      <c r="J2" s="4">
        <f>IF(D2&gt;=12,(IF(D2&gt;30,18,D2-12)*3+100)%*B14*16%,(100-(12-D2)*3)*B14%*16%)</f>
        <v>64944</v>
      </c>
      <c r="K2" s="20">
        <f>E2/H2</f>
        <v>3.1918960244648318</v>
      </c>
      <c r="L2" s="20">
        <f t="shared" ref="L2:L12" si="0">G2/J2</f>
        <v>3.1628787878787881</v>
      </c>
      <c r="M2" s="20">
        <f>F2/I2</f>
        <v>2.4086538461538463</v>
      </c>
      <c r="N2" s="21">
        <f t="shared" ref="N2:N12" si="1">K2*(100+$B$16)%</f>
        <v>4.4686544342507641</v>
      </c>
      <c r="O2" s="22">
        <f t="shared" ref="O2:O12" si="2">L2*(100+$B$16)%</f>
        <v>4.4280303030303028</v>
      </c>
      <c r="P2" s="22">
        <f t="shared" ref="P2:P12" si="3">M2*(100+$B$16)%</f>
        <v>3.3721153846153844</v>
      </c>
    </row>
    <row r="3" spans="1:16" ht="40.5" thickTop="1" thickBot="1">
      <c r="A3" s="25"/>
      <c r="B3" s="26"/>
      <c r="C3" s="8" t="s">
        <v>49</v>
      </c>
      <c r="D3" s="9">
        <v>8</v>
      </c>
      <c r="E3" s="4">
        <f>E5*0.92</f>
        <v>153640</v>
      </c>
      <c r="F3" s="4">
        <f>F5*0.92</f>
        <v>138276</v>
      </c>
      <c r="G3" s="4">
        <f>G5*0.88</f>
        <v>220440</v>
      </c>
      <c r="H3" s="4">
        <f>IF(D3&gt;=12,(IF(D3&gt;20,8,D3-12)*2+100)%*B13*16%,(100-(12-D3)*2)*B13%*16%)</f>
        <v>48134.400000000001</v>
      </c>
      <c r="I3" s="4">
        <f>IF(D3&gt;=12,(IF(D3&gt;20,8,D3-12)*2+100)%*B15*16%,(100-(12-D3)*2)*B15%*16%)</f>
        <v>57408</v>
      </c>
      <c r="J3" s="4">
        <f>IF(D3&gt;=12,(IF(D3&gt;30,18,D3-12)*3+100)%*B14*16%,(100-(12-D3)*3)*B14%*16%)</f>
        <v>69696</v>
      </c>
      <c r="K3" s="20">
        <f t="shared" ref="K3:K12" si="4">E3/H3</f>
        <v>3.1918960244648318</v>
      </c>
      <c r="L3" s="20">
        <f t="shared" si="0"/>
        <v>3.1628787878787881</v>
      </c>
      <c r="M3" s="20">
        <f t="shared" ref="M3:M12" si="5">F3/I3</f>
        <v>2.4086538461538463</v>
      </c>
      <c r="N3" s="21">
        <f t="shared" si="1"/>
        <v>4.4686544342507641</v>
      </c>
      <c r="O3" s="22">
        <f t="shared" si="2"/>
        <v>4.4280303030303028</v>
      </c>
      <c r="P3" s="22">
        <f t="shared" si="3"/>
        <v>3.3721153846153844</v>
      </c>
    </row>
    <row r="4" spans="1:16" ht="40.5" thickTop="1" thickBot="1">
      <c r="A4" s="25" t="s">
        <v>51</v>
      </c>
      <c r="B4" s="26"/>
      <c r="C4" s="8" t="s">
        <v>49</v>
      </c>
      <c r="D4" s="9">
        <v>10</v>
      </c>
      <c r="E4" s="4">
        <f>E5*0.96</f>
        <v>160320</v>
      </c>
      <c r="F4" s="4">
        <f>F5*0.96</f>
        <v>144288</v>
      </c>
      <c r="G4" s="4">
        <f>G5*0.94</f>
        <v>235470</v>
      </c>
      <c r="H4" s="4">
        <f>IF(D4&gt;=12,(IF(D4&gt;20,8,D4-12)*2+100)%*B13*16%,(100-(12-D4)*2)*B13%*16%)</f>
        <v>50227.200000000004</v>
      </c>
      <c r="I4" s="4">
        <f>IF(D4&gt;=12,(IF(D4&gt;20,8,D4-12)*2+100)%*B15*16%,(100-(12-D4)*2)*B15%*16%)</f>
        <v>59904</v>
      </c>
      <c r="J4" s="4">
        <f>IF(D4&gt;=12,(IF(D4&gt;30,18,D4-12)*3+100)%*B14*16%,(100-(12-D4)*3)*B14%*16%)</f>
        <v>74448</v>
      </c>
      <c r="K4" s="20">
        <f t="shared" si="4"/>
        <v>3.1918960244648313</v>
      </c>
      <c r="L4" s="20">
        <f t="shared" si="0"/>
        <v>3.1628787878787881</v>
      </c>
      <c r="M4" s="20">
        <f t="shared" si="5"/>
        <v>2.4086538461538463</v>
      </c>
      <c r="N4" s="21">
        <f t="shared" si="1"/>
        <v>4.4686544342507633</v>
      </c>
      <c r="O4" s="22">
        <f t="shared" si="2"/>
        <v>4.4280303030303028</v>
      </c>
      <c r="P4" s="22">
        <f t="shared" si="3"/>
        <v>3.3721153846153844</v>
      </c>
    </row>
    <row r="5" spans="1:16" ht="29.25" customHeight="1" thickTop="1" thickBot="1">
      <c r="A5" s="25"/>
      <c r="B5" s="26"/>
      <c r="C5" s="8" t="s">
        <v>55</v>
      </c>
      <c r="D5" s="9">
        <v>12</v>
      </c>
      <c r="E5" s="4">
        <v>167000</v>
      </c>
      <c r="F5" s="4">
        <v>150300</v>
      </c>
      <c r="G5" s="4">
        <v>250500</v>
      </c>
      <c r="H5" s="4">
        <f>IF(D5&gt;=12,(IF(D5&gt;20,8,D5-12)*2+100)%*B13*16%,(100-(12-D5)*2)*B13%*16%)</f>
        <v>52320</v>
      </c>
      <c r="I5" s="4">
        <f>IF(D5&gt;=12,(IF(D5&gt;20,8,D5-12)*2+100)%*B15*16%,(100-(12-D5)*2)*B15%*16%)</f>
        <v>62400</v>
      </c>
      <c r="J5" s="4">
        <f>IF(D5&gt;=12,(IF(D5&gt;30,18,D5-12)*3+100)%*B14*16%,(100-(12-D5)*3)*B14%*16%)</f>
        <v>79200</v>
      </c>
      <c r="K5" s="20">
        <f t="shared" si="4"/>
        <v>3.1918960244648318</v>
      </c>
      <c r="L5" s="20">
        <f t="shared" si="0"/>
        <v>3.1628787878787881</v>
      </c>
      <c r="M5" s="20">
        <f t="shared" si="5"/>
        <v>2.4086538461538463</v>
      </c>
      <c r="N5" s="21">
        <f t="shared" si="1"/>
        <v>4.4686544342507641</v>
      </c>
      <c r="O5" s="22">
        <f t="shared" si="2"/>
        <v>4.4280303030303028</v>
      </c>
      <c r="P5" s="22">
        <f t="shared" si="3"/>
        <v>3.3721153846153844</v>
      </c>
    </row>
    <row r="6" spans="1:16" ht="35.25" customHeight="1" thickTop="1" thickBot="1">
      <c r="A6" s="25"/>
      <c r="B6" s="26"/>
      <c r="C6" s="8" t="s">
        <v>74</v>
      </c>
      <c r="D6" s="9">
        <v>14</v>
      </c>
      <c r="E6" s="4">
        <f>E5*1.04</f>
        <v>173680</v>
      </c>
      <c r="F6" s="4">
        <f>F5*1.04</f>
        <v>156312</v>
      </c>
      <c r="G6" s="4">
        <f>G5*1.06</f>
        <v>265530</v>
      </c>
      <c r="H6" s="4">
        <f>IF(D6&gt;=12,(IF(D6&gt;20,8,D6-12)*2+100)%*B13*16%,(100-(12-D6)*2)*B13%*16%)</f>
        <v>54412.800000000003</v>
      </c>
      <c r="I6" s="4">
        <f>IF(D6&gt;=12,(IF(D6&gt;20,8,D6-12)*2+100)%*B15*16%,(100-(12-D6)*2)*B15%*16%)</f>
        <v>64896</v>
      </c>
      <c r="J6" s="4">
        <f>IF(D6&gt;=12,(IF(D6&gt;30,18,D6-12)*3+100)%*B14*16%,(100-(12-D6)*3)*B14%*16%)</f>
        <v>83952</v>
      </c>
      <c r="K6" s="20">
        <f t="shared" si="4"/>
        <v>3.1918960244648318</v>
      </c>
      <c r="L6" s="20">
        <f t="shared" si="0"/>
        <v>3.1628787878787881</v>
      </c>
      <c r="M6" s="20">
        <f t="shared" si="5"/>
        <v>2.4086538461538463</v>
      </c>
      <c r="N6" s="21">
        <f t="shared" si="1"/>
        <v>4.4686544342507641</v>
      </c>
      <c r="O6" s="22">
        <f t="shared" si="2"/>
        <v>4.4280303030303028</v>
      </c>
      <c r="P6" s="22">
        <f t="shared" si="3"/>
        <v>3.3721153846153844</v>
      </c>
    </row>
    <row r="7" spans="1:16" ht="36" customHeight="1" thickTop="1" thickBot="1">
      <c r="A7" s="25"/>
      <c r="B7" s="26"/>
      <c r="C7" s="8" t="s">
        <v>74</v>
      </c>
      <c r="D7" s="9">
        <v>16</v>
      </c>
      <c r="E7" s="4">
        <f>E5*1.08</f>
        <v>180360</v>
      </c>
      <c r="F7" s="4">
        <f>F5*1.08</f>
        <v>162324</v>
      </c>
      <c r="G7" s="4">
        <f>G5*1.12</f>
        <v>280560</v>
      </c>
      <c r="H7" s="4">
        <f>IF(D7&gt;=12,(IF(D7&gt;20,8,D7-12)*2+100)%*B13*16%,(100-(12-D7)*2)*B13%*16%)</f>
        <v>56505.599999999999</v>
      </c>
      <c r="I7" s="4">
        <f>IF(D7&gt;=12,(IF(D7&gt;20,8,D7-12)*2+100)%*B15*16%,(100-(12-D7)*2)*B15%*16%)</f>
        <v>67392</v>
      </c>
      <c r="J7" s="4">
        <f>IF(D7&gt;=12,(IF(D7&gt;30,18,D7-12)*3+100)%*B14*16%,(100-(12-D7)*3)*B14%*16%)</f>
        <v>88704</v>
      </c>
      <c r="K7" s="20">
        <f t="shared" si="4"/>
        <v>3.1918960244648318</v>
      </c>
      <c r="L7" s="20">
        <f t="shared" si="0"/>
        <v>3.1628787878787881</v>
      </c>
      <c r="M7" s="20">
        <f t="shared" si="5"/>
        <v>2.4086538461538463</v>
      </c>
      <c r="N7" s="21">
        <f t="shared" si="1"/>
        <v>4.4686544342507641</v>
      </c>
      <c r="O7" s="22">
        <f t="shared" si="2"/>
        <v>4.4280303030303028</v>
      </c>
      <c r="P7" s="22">
        <f t="shared" si="3"/>
        <v>3.3721153846153844</v>
      </c>
    </row>
    <row r="8" spans="1:16" ht="37.5" customHeight="1" thickTop="1" thickBot="1">
      <c r="A8" s="25"/>
      <c r="B8" s="26"/>
      <c r="C8" s="8" t="s">
        <v>74</v>
      </c>
      <c r="D8" s="9">
        <v>18</v>
      </c>
      <c r="E8" s="4">
        <f>E5*1.12</f>
        <v>187040.00000000003</v>
      </c>
      <c r="F8" s="4">
        <f>F5*1.12</f>
        <v>168336.00000000003</v>
      </c>
      <c r="G8" s="4">
        <f>G5*1.18</f>
        <v>295590</v>
      </c>
      <c r="H8" s="4">
        <f>IF(D8&gt;=12,(IF(D8&gt;20,8,D8-12)*2+100)%*B13*16%,(100-(12-D8)*2)*B13%*16%)</f>
        <v>58598.400000000009</v>
      </c>
      <c r="I8" s="4">
        <f>IF(D8&gt;=12,(IF(D8&gt;20,8,D8-12)*2+100)%*B15*16%,(100-(12-D8)*2)*B15%*16%)</f>
        <v>69888.000000000015</v>
      </c>
      <c r="J8" s="4">
        <f>IF(D8&gt;=12,(IF(D8&gt;30,18,D8-12)*3+100)%*B14*16%,(100-(12-D8)*3)*B14%*16%)</f>
        <v>93456</v>
      </c>
      <c r="K8" s="20">
        <f t="shared" si="4"/>
        <v>3.1918960244648318</v>
      </c>
      <c r="L8" s="20">
        <f t="shared" si="0"/>
        <v>3.1628787878787881</v>
      </c>
      <c r="M8" s="20">
        <f t="shared" si="5"/>
        <v>2.4086538461538463</v>
      </c>
      <c r="N8" s="21">
        <f t="shared" si="1"/>
        <v>4.4686544342507641</v>
      </c>
      <c r="O8" s="22">
        <f t="shared" si="2"/>
        <v>4.4280303030303028</v>
      </c>
      <c r="P8" s="22">
        <f t="shared" si="3"/>
        <v>3.3721153846153844</v>
      </c>
    </row>
    <row r="9" spans="1:16" ht="33" customHeight="1" thickTop="1" thickBot="1">
      <c r="A9" s="25"/>
      <c r="B9" s="26"/>
      <c r="C9" s="8" t="s">
        <v>74</v>
      </c>
      <c r="D9" s="9">
        <v>20</v>
      </c>
      <c r="E9" s="4">
        <f>E5*1.16</f>
        <v>193720</v>
      </c>
      <c r="F9" s="4">
        <f>F5*1.16</f>
        <v>174348</v>
      </c>
      <c r="G9" s="4">
        <f>G5*1.24</f>
        <v>310620</v>
      </c>
      <c r="H9" s="4">
        <f>IF(D9&gt;=12,(IF(D9&gt;20,8,D9-12)*2+100)%*B13*16%,(100-(12-D9)*2)*B13%*16%)</f>
        <v>60691.200000000004</v>
      </c>
      <c r="I9" s="4">
        <f>IF(D9&gt;=12,(IF(D9&gt;20,8,D9-12)*2+100)%*B15*16%,(100-(12-D9)*2)*B15%*16%)</f>
        <v>72383.999999999985</v>
      </c>
      <c r="J9" s="4">
        <f>IF(D9&gt;=12,(IF(D9&gt;30,18,D9-12)*3+100)%*B14*16%,(100-(12-D9)*3)*B14%*16%)</f>
        <v>98208</v>
      </c>
      <c r="K9" s="20">
        <f t="shared" si="4"/>
        <v>3.1918960244648318</v>
      </c>
      <c r="L9" s="20">
        <f t="shared" si="0"/>
        <v>3.1628787878787881</v>
      </c>
      <c r="M9" s="20">
        <f t="shared" si="5"/>
        <v>2.4086538461538467</v>
      </c>
      <c r="N9" s="21">
        <f t="shared" si="1"/>
        <v>4.4686544342507641</v>
      </c>
      <c r="O9" s="22">
        <f t="shared" si="2"/>
        <v>4.4280303030303028</v>
      </c>
      <c r="P9" s="22">
        <f t="shared" si="3"/>
        <v>3.3721153846153853</v>
      </c>
    </row>
    <row r="10" spans="1:16" ht="21" thickTop="1" thickBot="1">
      <c r="A10" s="25"/>
      <c r="B10" s="26"/>
      <c r="C10" s="8" t="s">
        <v>54</v>
      </c>
      <c r="D10" s="9">
        <v>30</v>
      </c>
      <c r="E10" s="4">
        <v>193720</v>
      </c>
      <c r="F10" s="4">
        <v>174348</v>
      </c>
      <c r="G10" s="4">
        <f>G5*1.54</f>
        <v>385770</v>
      </c>
      <c r="H10" s="4">
        <f>IF(D10&gt;=12,(IF(D10&gt;20,8,D10-12)*2+100)%*B13*16%,(100-(12-D10)*2)*B13%*16%)</f>
        <v>60691.200000000004</v>
      </c>
      <c r="I10" s="4">
        <f>IF(D10&gt;=12,(IF(D10&gt;20,8,D10-12)*2+100)%*B15*16%,(100-(12-D10)*2)*B15%*16%)</f>
        <v>72383.999999999985</v>
      </c>
      <c r="J10" s="4">
        <f>IF(D10&gt;=12,(IF(D10&gt;30,18,D10-12)*3+100)%*B14*16%,(100-(12-D10)*3)*B14%*16%)</f>
        <v>121968</v>
      </c>
      <c r="K10" s="20">
        <f t="shared" si="4"/>
        <v>3.1918960244648318</v>
      </c>
      <c r="L10" s="20">
        <f t="shared" si="0"/>
        <v>3.1628787878787881</v>
      </c>
      <c r="M10" s="20">
        <f t="shared" si="5"/>
        <v>2.4086538461538467</v>
      </c>
      <c r="N10" s="21">
        <f t="shared" si="1"/>
        <v>4.4686544342507641</v>
      </c>
      <c r="O10" s="22">
        <f t="shared" si="2"/>
        <v>4.4280303030303028</v>
      </c>
      <c r="P10" s="22">
        <f t="shared" si="3"/>
        <v>3.3721153846153853</v>
      </c>
    </row>
    <row r="11" spans="1:16" ht="40.5" thickTop="1" thickBot="1">
      <c r="A11" s="25"/>
      <c r="B11" s="26"/>
      <c r="C11" s="8" t="s">
        <v>53</v>
      </c>
      <c r="D11" s="9">
        <v>40</v>
      </c>
      <c r="E11" s="4">
        <v>193720</v>
      </c>
      <c r="F11" s="4">
        <v>174348</v>
      </c>
      <c r="G11" s="4">
        <v>385770</v>
      </c>
      <c r="H11" s="4">
        <f>IF(D11&gt;=12,(IF(D11&gt;20,8,D11-12)*2+100)%*B13*16%,(100-(12-D11)*2)*B13%*16%)</f>
        <v>60691.200000000004</v>
      </c>
      <c r="I11" s="4">
        <f>IF(D11&gt;=12,(IF(D11&gt;20,8,D11-12)*2+100)%*B15*16%,(100-(12-D11)*2)*B15%*16%)</f>
        <v>72383.999999999985</v>
      </c>
      <c r="J11" s="4">
        <f>IF(D11&gt;=12,(IF(D11&gt;30,18,D11-12)*3+100)%*B14*16%,(100-(12-D11)*3)*B14%*16%)</f>
        <v>121968</v>
      </c>
      <c r="K11" s="20">
        <f t="shared" si="4"/>
        <v>3.1918960244648318</v>
      </c>
      <c r="L11" s="20">
        <f t="shared" si="0"/>
        <v>3.1628787878787881</v>
      </c>
      <c r="M11" s="20">
        <f t="shared" si="5"/>
        <v>2.4086538461538467</v>
      </c>
      <c r="N11" s="21">
        <f t="shared" si="1"/>
        <v>4.4686544342507641</v>
      </c>
      <c r="O11" s="22">
        <f t="shared" si="2"/>
        <v>4.4280303030303028</v>
      </c>
      <c r="P11" s="22">
        <f t="shared" si="3"/>
        <v>3.3721153846153853</v>
      </c>
    </row>
    <row r="12" spans="1:16" ht="40.5" thickTop="1" thickBot="1">
      <c r="A12" s="25"/>
      <c r="B12" s="26"/>
      <c r="C12" s="8" t="s">
        <v>52</v>
      </c>
      <c r="D12" s="9">
        <v>76</v>
      </c>
      <c r="E12" s="4">
        <v>193720</v>
      </c>
      <c r="F12" s="4">
        <v>174348</v>
      </c>
      <c r="G12" s="4">
        <v>385770</v>
      </c>
      <c r="H12" s="4">
        <f>IF(D12&gt;=12,(IF(D12&gt;20,8,D12-12)*2+100)%*B13*16%,(100-(12-D12)*2)*B13%*16%)</f>
        <v>60691.200000000004</v>
      </c>
      <c r="I12" s="4">
        <f>IF(D12&gt;=12,(IF(D12&gt;20,8,D12-12)*2+100)%*B15*16%,(100-(12-D12)*2)*B15%*16%)</f>
        <v>72383.999999999985</v>
      </c>
      <c r="J12" s="4">
        <f>IF(D12&gt;=12,(IF(D12&gt;30,18,D12-12)*3+100)%*B14*16%,(100-(12-D12)*3)*B14%*16%)</f>
        <v>121968</v>
      </c>
      <c r="K12" s="20">
        <f t="shared" si="4"/>
        <v>3.1918960244648318</v>
      </c>
      <c r="L12" s="20">
        <f t="shared" si="0"/>
        <v>3.1628787878787881</v>
      </c>
      <c r="M12" s="20">
        <f t="shared" si="5"/>
        <v>2.4086538461538467</v>
      </c>
      <c r="N12" s="21">
        <f t="shared" si="1"/>
        <v>4.4686544342507641</v>
      </c>
      <c r="O12" s="22">
        <f t="shared" si="2"/>
        <v>4.4280303030303028</v>
      </c>
      <c r="P12" s="22">
        <f t="shared" si="3"/>
        <v>3.3721153846153853</v>
      </c>
    </row>
    <row r="13" spans="1:16" ht="20.25" thickTop="1">
      <c r="A13" s="6" t="s">
        <v>8</v>
      </c>
      <c r="B13" s="5">
        <v>327000</v>
      </c>
      <c r="C13" s="15"/>
      <c r="D13" s="10"/>
      <c r="E13" s="11" t="s">
        <v>20</v>
      </c>
      <c r="F13" s="11"/>
      <c r="G13" s="11" t="s">
        <v>23</v>
      </c>
      <c r="H13" s="11"/>
      <c r="I13" s="11"/>
      <c r="J13" s="11"/>
    </row>
    <row r="14" spans="1:16" ht="19.5">
      <c r="A14" s="6" t="s">
        <v>9</v>
      </c>
      <c r="B14" s="5">
        <v>495000</v>
      </c>
      <c r="C14" s="16"/>
      <c r="D14" s="13"/>
      <c r="E14" s="14" t="s">
        <v>21</v>
      </c>
      <c r="F14" s="14"/>
      <c r="G14" s="14" t="s">
        <v>22</v>
      </c>
      <c r="H14" s="14"/>
      <c r="I14" s="14"/>
      <c r="J14" s="14"/>
    </row>
    <row r="15" spans="1:16" ht="19.5">
      <c r="A15" s="6" t="s">
        <v>10</v>
      </c>
      <c r="B15" s="7">
        <v>390000</v>
      </c>
      <c r="C15" s="16"/>
      <c r="D15" s="13"/>
      <c r="E15" s="14"/>
      <c r="F15" s="14"/>
      <c r="G15" s="14"/>
      <c r="H15" s="14"/>
      <c r="I15" s="14"/>
      <c r="J15" s="14"/>
      <c r="K15">
        <v>17</v>
      </c>
    </row>
    <row r="16" spans="1:16" ht="19.5">
      <c r="A16" s="17" t="s">
        <v>16</v>
      </c>
      <c r="B16" s="17">
        <v>40</v>
      </c>
      <c r="C16" s="12"/>
      <c r="D16" s="13"/>
      <c r="E16" s="14"/>
      <c r="F16" s="14"/>
      <c r="G16" s="14"/>
      <c r="H16" s="14"/>
      <c r="I16" s="14"/>
      <c r="J16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بلوک 1</vt:lpstr>
      <vt:lpstr>بلوک 2</vt:lpstr>
      <vt:lpstr>بلوک 3</vt:lpstr>
      <vt:lpstr>بلوک 4</vt:lpstr>
      <vt:lpstr>بلوک 5</vt:lpstr>
      <vt:lpstr>بلوک 6</vt:lpstr>
      <vt:lpstr>بلوک 7</vt:lpstr>
      <vt:lpstr>بلوک 8</vt:lpstr>
      <vt:lpstr>بلوک 9</vt:lpstr>
      <vt:lpstr>بلوک 10</vt:lpstr>
      <vt:lpstr>بلوک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Dargiz</dc:creator>
  <cp:lastModifiedBy>ghorbanei</cp:lastModifiedBy>
  <cp:lastPrinted>2023-02-07T08:18:41Z</cp:lastPrinted>
  <dcterms:created xsi:type="dcterms:W3CDTF">2022-12-23T19:51:49Z</dcterms:created>
  <dcterms:modified xsi:type="dcterms:W3CDTF">2023-02-15T09:19:49Z</dcterms:modified>
</cp:coreProperties>
</file>